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300" yWindow="-80" windowWidth="24620" windowHeight="26480" tabRatio="683" activeTab="2"/>
  </bookViews>
  <sheets>
    <sheet name="Overview" sheetId="1" r:id="rId1"/>
    <sheet name="Sector Summaries" sheetId="11" r:id="rId2"/>
    <sheet name="Tunnels" sheetId="6" r:id="rId3"/>
    <sheet name="Bridges" sheetId="4" r:id="rId4"/>
    <sheet name="Earthworks" sheetId="3" r:id="rId5"/>
    <sheet name="Track" sheetId="7" r:id="rId6"/>
    <sheet name="Signalling and Control" sheetId="5" r:id="rId7"/>
    <sheet name="Civil Works" sheetId="8" r:id="rId8"/>
    <sheet name="Stations" sheetId="9" r:id="rId9"/>
    <sheet name="Land" sheetId="10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4"/>
  <c r="G39"/>
  <c r="G38"/>
  <c r="G37"/>
  <c r="G36"/>
  <c r="G35"/>
  <c r="F35"/>
  <c r="H37"/>
  <c r="H38"/>
  <c r="H39"/>
  <c r="H40"/>
  <c r="H41"/>
  <c r="H42"/>
  <c r="G34"/>
  <c r="G33"/>
  <c r="F33"/>
  <c r="D33"/>
  <c r="H32"/>
  <c r="F28"/>
  <c r="G30"/>
  <c r="F31"/>
  <c r="H31"/>
  <c r="H33"/>
  <c r="H34"/>
  <c r="H35"/>
  <c r="H36"/>
  <c r="H18"/>
  <c r="H19"/>
  <c r="H20"/>
  <c r="H21"/>
  <c r="H22"/>
  <c r="H23"/>
  <c r="H24"/>
  <c r="H25"/>
  <c r="H26"/>
  <c r="H27"/>
  <c r="H28"/>
  <c r="H29"/>
  <c r="H30"/>
  <c r="H17"/>
  <c r="G31"/>
  <c r="C29"/>
  <c r="G29"/>
  <c r="G28"/>
  <c r="C28"/>
  <c r="G27"/>
  <c r="G26"/>
  <c r="G25"/>
  <c r="G24"/>
  <c r="G23"/>
  <c r="C23"/>
  <c r="G22"/>
  <c r="G21"/>
  <c r="G20"/>
  <c r="G19"/>
  <c r="G18"/>
  <c r="G17"/>
  <c r="E125" i="8"/>
  <c r="E129"/>
  <c r="E128"/>
  <c r="E127"/>
  <c r="F125"/>
  <c r="F126"/>
  <c r="F127"/>
  <c r="F128"/>
  <c r="F129"/>
  <c r="E126"/>
  <c r="C125"/>
  <c r="F121"/>
  <c r="F122"/>
  <c r="F123"/>
  <c r="F124"/>
  <c r="E124"/>
  <c r="E123"/>
  <c r="E122"/>
  <c r="E121"/>
  <c r="E120"/>
  <c r="E119"/>
  <c r="C119"/>
  <c r="E118"/>
  <c r="E117"/>
  <c r="C117"/>
  <c r="E116"/>
  <c r="E115"/>
  <c r="E114"/>
  <c r="E113"/>
  <c r="E112"/>
  <c r="E111"/>
  <c r="E110"/>
  <c r="C110"/>
  <c r="E109"/>
  <c r="E108"/>
  <c r="E107"/>
  <c r="E106"/>
  <c r="E105"/>
  <c r="C106"/>
  <c r="C105"/>
  <c r="E104"/>
  <c r="E103"/>
  <c r="C103"/>
  <c r="F105"/>
  <c r="F106"/>
  <c r="F107"/>
  <c r="F108"/>
  <c r="F109"/>
  <c r="F110"/>
  <c r="F111"/>
  <c r="F112"/>
  <c r="F113"/>
  <c r="F114"/>
  <c r="F115"/>
  <c r="F116"/>
  <c r="F117"/>
  <c r="F118"/>
  <c r="F119"/>
  <c r="F120"/>
  <c r="E102"/>
  <c r="E101"/>
  <c r="E100"/>
  <c r="E99"/>
  <c r="C100"/>
  <c r="C99"/>
  <c r="E98"/>
  <c r="E97"/>
  <c r="E96"/>
  <c r="C96"/>
  <c r="C94"/>
  <c r="E95"/>
  <c r="E94"/>
  <c r="E93"/>
  <c r="C92"/>
  <c r="E92"/>
  <c r="E91"/>
  <c r="C91"/>
  <c r="E90"/>
  <c r="E89"/>
  <c r="C89"/>
  <c r="E88"/>
  <c r="E87"/>
  <c r="E86"/>
  <c r="C85"/>
  <c r="F94"/>
  <c r="F95"/>
  <c r="F96"/>
  <c r="F97"/>
  <c r="F98"/>
  <c r="F99"/>
  <c r="F100"/>
  <c r="F101"/>
  <c r="F102"/>
  <c r="F103"/>
  <c r="F104"/>
  <c r="E85"/>
  <c r="E83"/>
  <c r="E82"/>
  <c r="E84"/>
  <c r="C82"/>
  <c r="C79"/>
  <c r="E80"/>
  <c r="E79"/>
  <c r="E81"/>
  <c r="E77"/>
  <c r="E78"/>
  <c r="E76"/>
  <c r="C76"/>
  <c r="E75"/>
  <c r="C74"/>
  <c r="E74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E73"/>
  <c r="F73"/>
  <c r="E71"/>
  <c r="F71"/>
  <c r="E72"/>
  <c r="F72"/>
  <c r="C69"/>
  <c r="E69"/>
  <c r="F69"/>
  <c r="C70"/>
  <c r="E70"/>
  <c r="F70"/>
  <c r="E68"/>
  <c r="F68"/>
  <c r="C67"/>
  <c r="E67"/>
  <c r="F67"/>
  <c r="C65"/>
  <c r="E65"/>
  <c r="F65"/>
  <c r="E66"/>
  <c r="F66"/>
  <c r="E64"/>
  <c r="E63"/>
  <c r="C63"/>
  <c r="E62"/>
  <c r="E61"/>
  <c r="C61"/>
  <c r="E59"/>
  <c r="E58"/>
  <c r="C58"/>
  <c r="E57"/>
  <c r="E56"/>
  <c r="E54"/>
  <c r="E53"/>
  <c r="F55"/>
  <c r="F56"/>
  <c r="F57"/>
  <c r="F58"/>
  <c r="F59"/>
  <c r="F60"/>
  <c r="F61"/>
  <c r="F62"/>
  <c r="F63"/>
  <c r="F64"/>
  <c r="E52"/>
  <c r="E51"/>
  <c r="C51"/>
  <c r="E50"/>
  <c r="E49"/>
  <c r="C49"/>
  <c r="E48"/>
  <c r="E47"/>
  <c r="E46"/>
  <c r="E45"/>
  <c r="E44"/>
  <c r="E43"/>
  <c r="E42"/>
  <c r="F42"/>
  <c r="F43"/>
  <c r="F44"/>
  <c r="F45"/>
  <c r="F46"/>
  <c r="F47"/>
  <c r="F48"/>
  <c r="F49"/>
  <c r="F50"/>
  <c r="F51"/>
  <c r="F52"/>
  <c r="F53"/>
  <c r="F54"/>
  <c r="E41"/>
  <c r="F41"/>
  <c r="E40"/>
  <c r="F40"/>
  <c r="E38"/>
  <c r="F38"/>
  <c r="E36"/>
  <c r="F36"/>
  <c r="E35"/>
  <c r="F35"/>
  <c r="E31"/>
  <c r="F31"/>
  <c r="E39"/>
  <c r="F39"/>
  <c r="E37"/>
  <c r="F37"/>
  <c r="E34"/>
  <c r="F34"/>
  <c r="C33"/>
  <c r="E33"/>
  <c r="F33"/>
  <c r="E32"/>
  <c r="F32"/>
  <c r="B30"/>
  <c r="E30"/>
  <c r="F30"/>
  <c r="E29"/>
  <c r="F29"/>
  <c r="B29"/>
  <c r="J77" i="3"/>
  <c r="J76"/>
  <c r="I76"/>
  <c r="K76"/>
  <c r="H77"/>
  <c r="I77"/>
  <c r="K77"/>
  <c r="H78"/>
  <c r="I78"/>
  <c r="J78"/>
  <c r="K78"/>
  <c r="H79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B76"/>
  <c r="J75"/>
  <c r="H75"/>
  <c r="I75"/>
  <c r="K75"/>
  <c r="J74"/>
  <c r="H74"/>
  <c r="I74"/>
  <c r="K74"/>
  <c r="H73"/>
  <c r="I73"/>
  <c r="K73"/>
  <c r="H72"/>
  <c r="I72"/>
  <c r="K72"/>
  <c r="J71"/>
  <c r="H71"/>
  <c r="I71"/>
  <c r="K71"/>
  <c r="J70"/>
  <c r="H70"/>
  <c r="H76"/>
  <c r="H80"/>
  <c r="H81"/>
  <c r="H82"/>
  <c r="H83"/>
  <c r="H84"/>
  <c r="H85"/>
  <c r="H86"/>
  <c r="H87"/>
  <c r="H88"/>
  <c r="H89"/>
  <c r="I70"/>
  <c r="K70"/>
  <c r="J69"/>
  <c r="H69"/>
  <c r="I69"/>
  <c r="K69"/>
  <c r="H68"/>
  <c r="I68"/>
  <c r="K68"/>
  <c r="J67"/>
  <c r="H67"/>
  <c r="I67"/>
  <c r="K67"/>
  <c r="H66"/>
  <c r="I66"/>
  <c r="K66"/>
  <c r="H65"/>
  <c r="I65"/>
  <c r="J65"/>
  <c r="K65"/>
  <c r="J64"/>
  <c r="K64"/>
  <c r="J63"/>
  <c r="J62"/>
  <c r="H63"/>
  <c r="I63"/>
  <c r="K63"/>
  <c r="K8"/>
  <c r="H62"/>
  <c r="I62"/>
  <c r="K62"/>
  <c r="H61"/>
  <c r="I61"/>
  <c r="K61"/>
  <c r="J60"/>
  <c r="J61"/>
  <c r="H64"/>
  <c r="I64"/>
  <c r="J66"/>
  <c r="J68"/>
  <c r="J72"/>
  <c r="J73"/>
  <c r="H60"/>
  <c r="I60"/>
  <c r="K60"/>
  <c r="J59"/>
  <c r="H59"/>
  <c r="I59"/>
  <c r="K59"/>
  <c r="J58"/>
  <c r="H58"/>
  <c r="I58"/>
  <c r="K58"/>
  <c r="J57"/>
  <c r="H57"/>
  <c r="I57"/>
  <c r="K57"/>
  <c r="H56"/>
  <c r="H55"/>
  <c r="I55"/>
  <c r="J55"/>
  <c r="K55"/>
  <c r="I56"/>
  <c r="K56"/>
  <c r="J56"/>
  <c r="J51"/>
  <c r="J54"/>
  <c r="H54"/>
  <c r="I54"/>
  <c r="K54"/>
  <c r="J52"/>
  <c r="H53"/>
  <c r="I53"/>
  <c r="K53"/>
  <c r="J53"/>
  <c r="H52"/>
  <c r="I52"/>
  <c r="K52"/>
  <c r="H51"/>
  <c r="I51"/>
  <c r="K51"/>
  <c r="J50"/>
  <c r="H50"/>
  <c r="I50"/>
  <c r="K50"/>
  <c r="J49"/>
  <c r="H49"/>
  <c r="I49"/>
  <c r="K49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H21"/>
  <c r="I21"/>
  <c r="K21"/>
  <c r="H22"/>
  <c r="I22"/>
  <c r="K22"/>
  <c r="H23"/>
  <c r="I23"/>
  <c r="K23"/>
  <c r="H24"/>
  <c r="I24"/>
  <c r="K24"/>
  <c r="H25"/>
  <c r="I25"/>
  <c r="K25"/>
  <c r="H26"/>
  <c r="I26"/>
  <c r="K26"/>
  <c r="H27"/>
  <c r="I27"/>
  <c r="K27"/>
  <c r="H28"/>
  <c r="I28"/>
  <c r="K28"/>
  <c r="H29"/>
  <c r="I29"/>
  <c r="K29"/>
  <c r="H30"/>
  <c r="I30"/>
  <c r="K30"/>
  <c r="H31"/>
  <c r="I31"/>
  <c r="K31"/>
  <c r="H32"/>
  <c r="I32"/>
  <c r="K32"/>
  <c r="H33"/>
  <c r="I33"/>
  <c r="K33"/>
  <c r="H34"/>
  <c r="I34"/>
  <c r="K34"/>
  <c r="H35"/>
  <c r="I35"/>
  <c r="K35"/>
  <c r="H36"/>
  <c r="I36"/>
  <c r="K36"/>
  <c r="H37"/>
  <c r="I37"/>
  <c r="K37"/>
  <c r="H38"/>
  <c r="I38"/>
  <c r="K38"/>
  <c r="H39"/>
  <c r="I39"/>
  <c r="K39"/>
  <c r="H40"/>
  <c r="I40"/>
  <c r="K40"/>
  <c r="H41"/>
  <c r="I41"/>
  <c r="K41"/>
  <c r="H42"/>
  <c r="I42"/>
  <c r="K42"/>
  <c r="H43"/>
  <c r="I43"/>
  <c r="K43"/>
  <c r="H44"/>
  <c r="I44"/>
  <c r="K44"/>
  <c r="H45"/>
  <c r="I45"/>
  <c r="K45"/>
  <c r="H46"/>
  <c r="I46"/>
  <c r="K46"/>
  <c r="H47"/>
  <c r="I47"/>
  <c r="K47"/>
  <c r="H48"/>
  <c r="I48"/>
  <c r="K48"/>
  <c r="J47"/>
  <c r="J48"/>
  <c r="J45"/>
  <c r="J46"/>
  <c r="J44"/>
  <c r="J43"/>
  <c r="J42"/>
  <c r="J41"/>
  <c r="J40"/>
  <c r="J39"/>
  <c r="J38"/>
  <c r="J37"/>
  <c r="J36"/>
  <c r="J34"/>
  <c r="J35"/>
  <c r="J33"/>
  <c r="J32"/>
  <c r="J31"/>
  <c r="J30"/>
  <c r="J29"/>
  <c r="J28"/>
  <c r="J27"/>
  <c r="J26"/>
  <c r="J25"/>
  <c r="J24"/>
  <c r="J23"/>
  <c r="J21"/>
  <c r="J22"/>
  <c r="J20"/>
  <c r="J10"/>
  <c r="J19"/>
  <c r="J18"/>
  <c r="J17"/>
  <c r="J16"/>
  <c r="J15"/>
  <c r="J14"/>
  <c r="J12"/>
  <c r="J13"/>
  <c r="J11"/>
  <c r="J9"/>
  <c r="H31" i="10"/>
  <c r="H28"/>
  <c r="F31"/>
  <c r="E31"/>
  <c r="H30"/>
  <c r="F30"/>
  <c r="E30"/>
  <c r="H29"/>
  <c r="F29"/>
  <c r="E29"/>
  <c r="F28"/>
  <c r="E28"/>
  <c r="F27"/>
  <c r="H27"/>
  <c r="H26"/>
  <c r="F26"/>
  <c r="E26"/>
  <c r="F25"/>
  <c r="H25"/>
  <c r="E25"/>
  <c r="H24"/>
  <c r="F24"/>
  <c r="E24"/>
  <c r="H23"/>
  <c r="F23"/>
  <c r="E23"/>
  <c r="F22"/>
  <c r="H22"/>
  <c r="E22"/>
  <c r="H21"/>
  <c r="F21"/>
  <c r="F20"/>
  <c r="F18"/>
  <c r="E21"/>
  <c r="H20"/>
  <c r="E20"/>
  <c r="H19"/>
  <c r="H18"/>
  <c r="E18"/>
  <c r="L56" i="1"/>
  <c r="I56"/>
  <c r="N55"/>
  <c r="L55"/>
  <c r="I55"/>
  <c r="H55"/>
  <c r="N54"/>
  <c r="L54"/>
  <c r="I54"/>
  <c r="N53"/>
  <c r="L53"/>
  <c r="I53"/>
  <c r="H53"/>
  <c r="N52"/>
  <c r="I52"/>
  <c r="L52"/>
  <c r="H2"/>
  <c r="I2"/>
  <c r="L6"/>
  <c r="L7"/>
  <c r="L9"/>
  <c r="L10"/>
  <c r="L11"/>
  <c r="L12"/>
  <c r="L13"/>
  <c r="L14"/>
  <c r="L16"/>
  <c r="L18"/>
  <c r="L19"/>
  <c r="L20"/>
  <c r="L22"/>
  <c r="L23"/>
  <c r="L25"/>
  <c r="L26"/>
  <c r="L27"/>
  <c r="L28"/>
  <c r="L30"/>
  <c r="L31"/>
  <c r="L32"/>
  <c r="L33"/>
  <c r="L35"/>
  <c r="L36"/>
  <c r="L37"/>
  <c r="L38"/>
  <c r="L40"/>
  <c r="L41"/>
  <c r="L42"/>
  <c r="L43"/>
  <c r="L44"/>
  <c r="L46"/>
  <c r="L47"/>
  <c r="L48"/>
  <c r="L50"/>
  <c r="L2"/>
  <c r="N47"/>
  <c r="N2"/>
  <c r="G2"/>
  <c r="D2"/>
  <c r="E50"/>
  <c r="E52"/>
  <c r="E53"/>
  <c r="E54"/>
  <c r="E55"/>
  <c r="E56"/>
  <c r="B50"/>
  <c r="I50"/>
  <c r="F50"/>
  <c r="I48"/>
  <c r="H48"/>
  <c r="I47"/>
  <c r="N46"/>
  <c r="I46"/>
  <c r="E46"/>
  <c r="E47"/>
  <c r="E48"/>
  <c r="N43"/>
  <c r="I43"/>
  <c r="H43"/>
  <c r="N42"/>
  <c r="I42"/>
  <c r="N41"/>
  <c r="I41"/>
  <c r="H41"/>
  <c r="E42"/>
  <c r="E43"/>
  <c r="E44"/>
  <c r="E41"/>
  <c r="I40"/>
  <c r="E40"/>
  <c r="N38"/>
  <c r="I38"/>
  <c r="E35"/>
  <c r="E36"/>
  <c r="E37"/>
  <c r="E38"/>
  <c r="N37"/>
  <c r="I37"/>
  <c r="N36"/>
  <c r="I36"/>
  <c r="H36"/>
  <c r="N35"/>
  <c r="I35"/>
  <c r="H35"/>
  <c r="I33"/>
  <c r="H33"/>
  <c r="N32"/>
  <c r="I32"/>
  <c r="I31"/>
  <c r="I30"/>
  <c r="I28"/>
  <c r="I27"/>
  <c r="I26"/>
  <c r="I25"/>
  <c r="H25"/>
  <c r="I23"/>
  <c r="I22"/>
  <c r="H21"/>
  <c r="I20"/>
  <c r="I19"/>
  <c r="H18"/>
  <c r="H17"/>
  <c r="I16"/>
  <c r="H6"/>
  <c r="I9"/>
  <c r="I10"/>
  <c r="I12"/>
  <c r="I13"/>
  <c r="I14"/>
  <c r="H12"/>
  <c r="H14"/>
  <c r="H8"/>
  <c r="E6"/>
  <c r="E7"/>
  <c r="E8"/>
  <c r="E9"/>
  <c r="E10"/>
  <c r="E11"/>
  <c r="E12"/>
  <c r="E13"/>
  <c r="E14"/>
  <c r="E30"/>
  <c r="E31"/>
  <c r="E32"/>
  <c r="E33"/>
  <c r="E25"/>
  <c r="E26"/>
  <c r="E27"/>
  <c r="E28"/>
  <c r="E16"/>
  <c r="E17"/>
  <c r="E18"/>
  <c r="E19"/>
  <c r="E20"/>
  <c r="E21"/>
  <c r="E22"/>
  <c r="E23"/>
  <c r="G27"/>
  <c r="G19"/>
  <c r="G31"/>
  <c r="J6"/>
  <c r="J7"/>
  <c r="J8"/>
  <c r="J43"/>
  <c r="J42"/>
  <c r="J41"/>
  <c r="J38"/>
  <c r="J37"/>
  <c r="J32"/>
  <c r="J10"/>
  <c r="J11"/>
  <c r="J12"/>
  <c r="J13"/>
  <c r="J16"/>
  <c r="J17"/>
  <c r="J18"/>
  <c r="J20"/>
  <c r="J21"/>
  <c r="J22"/>
  <c r="J23"/>
  <c r="J25"/>
  <c r="J26"/>
  <c r="J28"/>
  <c r="J30"/>
  <c r="J27"/>
  <c r="J19"/>
  <c r="J31"/>
  <c r="J36"/>
  <c r="J40"/>
  <c r="J9"/>
  <c r="J14"/>
  <c r="J33"/>
  <c r="J35"/>
  <c r="J44"/>
  <c r="K6"/>
  <c r="K7"/>
  <c r="K8"/>
  <c r="K9"/>
  <c r="K10"/>
  <c r="K11"/>
  <c r="K12"/>
  <c r="K13"/>
  <c r="K14"/>
  <c r="K16"/>
  <c r="K17"/>
  <c r="K18"/>
  <c r="K19"/>
  <c r="K20"/>
  <c r="K21"/>
  <c r="K22"/>
  <c r="K23"/>
  <c r="K25"/>
  <c r="K26"/>
  <c r="K27"/>
  <c r="K28"/>
  <c r="K30"/>
  <c r="K31"/>
  <c r="K32"/>
  <c r="K33"/>
  <c r="K35"/>
  <c r="K36"/>
  <c r="K37"/>
  <c r="K38"/>
  <c r="K40"/>
  <c r="K41"/>
  <c r="K42"/>
  <c r="K43"/>
  <c r="B7"/>
  <c r="B8"/>
  <c r="B9"/>
  <c r="B10"/>
  <c r="B11"/>
  <c r="B12"/>
  <c r="B13"/>
  <c r="B14"/>
  <c r="B16"/>
  <c r="B17"/>
  <c r="B18"/>
  <c r="B19"/>
  <c r="B20"/>
  <c r="B21"/>
  <c r="B22"/>
  <c r="B23"/>
  <c r="B25"/>
  <c r="B26"/>
  <c r="B27"/>
  <c r="B28"/>
  <c r="B30"/>
  <c r="B31"/>
  <c r="B32"/>
  <c r="B35"/>
  <c r="B36"/>
  <c r="B37"/>
  <c r="B38"/>
  <c r="B41"/>
  <c r="B42"/>
  <c r="B43"/>
  <c r="F35"/>
  <c r="F14"/>
  <c r="F9"/>
  <c r="F36"/>
  <c r="F31"/>
  <c r="F19"/>
  <c r="F27"/>
  <c r="F30"/>
  <c r="F28"/>
  <c r="F26"/>
  <c r="F25"/>
  <c r="F23"/>
  <c r="F22"/>
  <c r="F21"/>
  <c r="F20"/>
  <c r="F18"/>
  <c r="F17"/>
  <c r="F16"/>
  <c r="F13"/>
  <c r="F12"/>
  <c r="F11"/>
  <c r="F10"/>
  <c r="F7"/>
  <c r="F8"/>
  <c r="F32"/>
  <c r="F37"/>
  <c r="F38"/>
  <c r="F41"/>
  <c r="F42"/>
  <c r="F43"/>
  <c r="K44"/>
  <c r="B40"/>
  <c r="F40"/>
  <c r="J46"/>
  <c r="K46"/>
  <c r="B46"/>
  <c r="F46"/>
  <c r="J47"/>
  <c r="K47"/>
  <c r="B47"/>
  <c r="F47"/>
  <c r="J48"/>
  <c r="K48"/>
  <c r="J50"/>
  <c r="K50"/>
  <c r="J52"/>
  <c r="K52"/>
  <c r="B52"/>
  <c r="F52"/>
  <c r="J53"/>
  <c r="K53"/>
  <c r="B53"/>
  <c r="F53"/>
  <c r="J54"/>
  <c r="K54"/>
  <c r="B54"/>
  <c r="F54"/>
  <c r="J55"/>
  <c r="K55"/>
  <c r="B55"/>
  <c r="F55"/>
  <c r="K56"/>
  <c r="K2"/>
  <c r="M56"/>
  <c r="M33"/>
  <c r="B33"/>
  <c r="F33"/>
  <c r="M44"/>
  <c r="B44"/>
  <c r="F44"/>
  <c r="M6"/>
  <c r="B6"/>
  <c r="F6"/>
  <c r="M48"/>
  <c r="B48"/>
  <c r="F48"/>
  <c r="M2"/>
  <c r="J56"/>
  <c r="B56"/>
  <c r="B2"/>
  <c r="F2"/>
  <c r="D3"/>
  <c r="E3"/>
  <c r="G3"/>
  <c r="H3"/>
  <c r="I3"/>
  <c r="L3"/>
  <c r="M3"/>
  <c r="N3"/>
  <c r="B3"/>
  <c r="J2"/>
  <c r="J3"/>
  <c r="K3"/>
  <c r="F56"/>
  <c r="A5" i="11"/>
  <c r="A6"/>
  <c r="A4"/>
  <c r="B4"/>
  <c r="B5"/>
  <c r="B6"/>
  <c r="B7"/>
  <c r="B8"/>
  <c r="B9"/>
  <c r="B10"/>
  <c r="B11"/>
  <c r="B12"/>
  <c r="B14"/>
  <c r="C27"/>
  <c r="C28"/>
  <c r="C29"/>
  <c r="C30"/>
  <c r="C31"/>
  <c r="C32"/>
  <c r="C33"/>
  <c r="C26"/>
  <c r="E4"/>
  <c r="E5"/>
  <c r="E6"/>
  <c r="E7"/>
  <c r="E8"/>
  <c r="E9"/>
  <c r="E10"/>
  <c r="E11"/>
  <c r="E12"/>
  <c r="E14"/>
  <c r="M14"/>
  <c r="F4"/>
  <c r="F5"/>
  <c r="F6"/>
  <c r="F7"/>
  <c r="F8"/>
  <c r="F9"/>
  <c r="F10"/>
  <c r="F11"/>
  <c r="F12"/>
  <c r="F14"/>
  <c r="N14"/>
  <c r="G4"/>
  <c r="G5"/>
  <c r="G6"/>
  <c r="G7"/>
  <c r="G8"/>
  <c r="G9"/>
  <c r="G10"/>
  <c r="G11"/>
  <c r="G12"/>
  <c r="G14"/>
  <c r="O14"/>
  <c r="H4"/>
  <c r="H5"/>
  <c r="H6"/>
  <c r="H7"/>
  <c r="H8"/>
  <c r="H9"/>
  <c r="H10"/>
  <c r="H11"/>
  <c r="H12"/>
  <c r="H14"/>
  <c r="P14"/>
  <c r="I4"/>
  <c r="I5"/>
  <c r="I6"/>
  <c r="I7"/>
  <c r="I8"/>
  <c r="I9"/>
  <c r="I10"/>
  <c r="I11"/>
  <c r="I12"/>
  <c r="I14"/>
  <c r="Q14"/>
  <c r="J4"/>
  <c r="J5"/>
  <c r="J6"/>
  <c r="J7"/>
  <c r="J8"/>
  <c r="J9"/>
  <c r="J10"/>
  <c r="J11"/>
  <c r="J12"/>
  <c r="J14"/>
  <c r="R14"/>
  <c r="K4"/>
  <c r="K5"/>
  <c r="K6"/>
  <c r="K7"/>
  <c r="K8"/>
  <c r="K9"/>
  <c r="K10"/>
  <c r="K11"/>
  <c r="K12"/>
  <c r="K14"/>
  <c r="S14"/>
  <c r="L4"/>
  <c r="L5"/>
  <c r="L6"/>
  <c r="L7"/>
  <c r="L8"/>
  <c r="L9"/>
  <c r="L10"/>
  <c r="L11"/>
  <c r="L12"/>
  <c r="L14"/>
  <c r="T14"/>
  <c r="C4"/>
  <c r="C5"/>
  <c r="C6"/>
  <c r="C7"/>
  <c r="C8"/>
  <c r="C9"/>
  <c r="C10"/>
  <c r="C11"/>
  <c r="C12"/>
  <c r="C14"/>
  <c r="D14"/>
  <c r="V12"/>
  <c r="N11"/>
  <c r="O11"/>
  <c r="P11"/>
  <c r="Q11"/>
  <c r="R11"/>
  <c r="S11"/>
  <c r="T11"/>
  <c r="M11"/>
  <c r="D11"/>
  <c r="C39"/>
  <c r="C40"/>
  <c r="C41"/>
  <c r="C42"/>
  <c r="C43"/>
  <c r="C44"/>
  <c r="C45"/>
  <c r="C38"/>
  <c r="B46"/>
  <c r="B39"/>
  <c r="B40"/>
  <c r="B41"/>
  <c r="B42"/>
  <c r="B43"/>
  <c r="B44"/>
  <c r="B45"/>
  <c r="B38"/>
  <c r="V10"/>
  <c r="V9"/>
  <c r="V8"/>
  <c r="V7"/>
  <c r="V6"/>
  <c r="V5"/>
  <c r="V4"/>
  <c r="D8"/>
  <c r="M8"/>
  <c r="N8"/>
  <c r="O8"/>
  <c r="P8"/>
  <c r="Q8"/>
  <c r="R8"/>
  <c r="S8"/>
  <c r="T8"/>
  <c r="D6"/>
  <c r="D5"/>
  <c r="T6"/>
  <c r="S6"/>
  <c r="R6"/>
  <c r="Q6"/>
  <c r="P6"/>
  <c r="O6"/>
  <c r="N6"/>
  <c r="M6"/>
  <c r="T5"/>
  <c r="S5"/>
  <c r="R5"/>
  <c r="Q5"/>
  <c r="P5"/>
  <c r="O5"/>
  <c r="N5"/>
  <c r="M5"/>
  <c r="M7"/>
  <c r="N7"/>
  <c r="O7"/>
  <c r="P7"/>
  <c r="Q7"/>
  <c r="R7"/>
  <c r="S7"/>
  <c r="T7"/>
  <c r="D7"/>
  <c r="T9"/>
  <c r="S9"/>
  <c r="R9"/>
  <c r="Q9"/>
  <c r="P9"/>
  <c r="O9"/>
  <c r="N9"/>
  <c r="M9"/>
  <c r="D9"/>
  <c r="D4"/>
  <c r="M4"/>
  <c r="T4"/>
  <c r="S4"/>
  <c r="R4"/>
  <c r="Q4"/>
  <c r="P4"/>
  <c r="O4"/>
  <c r="N4"/>
  <c r="N10"/>
  <c r="O10"/>
  <c r="P10"/>
  <c r="Q10"/>
  <c r="R10"/>
  <c r="S10"/>
  <c r="T10"/>
  <c r="M10"/>
  <c r="D10"/>
  <c r="D12"/>
  <c r="M12"/>
  <c r="T12"/>
  <c r="S12"/>
  <c r="R12"/>
  <c r="Q12"/>
  <c r="P12"/>
  <c r="O12"/>
  <c r="N12"/>
  <c r="D57" i="5"/>
  <c r="C57"/>
  <c r="C56"/>
  <c r="C55"/>
  <c r="C54"/>
  <c r="C53"/>
  <c r="C52"/>
  <c r="D51"/>
  <c r="C51"/>
  <c r="E50"/>
  <c r="E51"/>
  <c r="E52"/>
  <c r="E53"/>
  <c r="E54"/>
  <c r="E55"/>
  <c r="E56"/>
  <c r="E57"/>
  <c r="E58"/>
  <c r="E59"/>
  <c r="C50"/>
  <c r="E49"/>
  <c r="D49"/>
  <c r="C49"/>
  <c r="D48"/>
  <c r="C48"/>
  <c r="E48"/>
  <c r="C47"/>
  <c r="E47"/>
  <c r="C46"/>
  <c r="E46"/>
  <c r="C45"/>
  <c r="E45"/>
  <c r="C44"/>
  <c r="E44"/>
  <c r="C43"/>
  <c r="C42"/>
  <c r="C41"/>
  <c r="D40"/>
  <c r="D39"/>
  <c r="D16"/>
  <c r="C40"/>
  <c r="D19"/>
  <c r="C39"/>
  <c r="C38"/>
  <c r="C37"/>
  <c r="C36"/>
  <c r="C35"/>
  <c r="C34"/>
  <c r="C33"/>
  <c r="C32"/>
  <c r="C31"/>
  <c r="C30"/>
  <c r="C29"/>
  <c r="C28"/>
  <c r="C27"/>
  <c r="C26"/>
  <c r="C25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D24"/>
  <c r="C24"/>
  <c r="E24"/>
  <c r="C23"/>
  <c r="E23"/>
  <c r="C22"/>
  <c r="E22"/>
  <c r="C21"/>
  <c r="E21"/>
  <c r="C20"/>
  <c r="E20"/>
  <c r="C19"/>
  <c r="E19"/>
  <c r="C18"/>
  <c r="E18"/>
  <c r="C17"/>
  <c r="E17"/>
  <c r="B16"/>
  <c r="C16"/>
  <c r="E16"/>
  <c r="F18" i="9"/>
  <c r="F15"/>
  <c r="F17"/>
  <c r="F16"/>
  <c r="F19"/>
  <c r="D19"/>
  <c r="D17"/>
  <c r="D16"/>
  <c r="G16"/>
  <c r="G17"/>
  <c r="G18"/>
  <c r="G19"/>
  <c r="G15"/>
  <c r="G60" i="7"/>
  <c r="D61"/>
  <c r="D60"/>
  <c r="C61"/>
  <c r="D59"/>
  <c r="D58"/>
  <c r="D57"/>
  <c r="D56"/>
  <c r="D55"/>
  <c r="G54"/>
  <c r="D54"/>
  <c r="D53"/>
  <c r="G52"/>
  <c r="D52"/>
  <c r="G51"/>
  <c r="G39"/>
  <c r="G38"/>
  <c r="G21"/>
  <c r="G15"/>
  <c r="G13"/>
  <c r="G14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36"/>
  <c r="G37"/>
  <c r="G40"/>
  <c r="G41"/>
  <c r="G42"/>
  <c r="G43"/>
  <c r="G44"/>
  <c r="G45"/>
  <c r="G46"/>
  <c r="G47"/>
  <c r="G48"/>
  <c r="G49"/>
  <c r="G50"/>
  <c r="D51"/>
  <c r="D50"/>
  <c r="D49"/>
  <c r="D48"/>
  <c r="H47"/>
  <c r="H48"/>
  <c r="H49"/>
  <c r="H50"/>
  <c r="H51"/>
  <c r="H52"/>
  <c r="H53"/>
  <c r="H54"/>
  <c r="H55"/>
  <c r="H56"/>
  <c r="H57"/>
  <c r="H58"/>
  <c r="H59"/>
  <c r="H60"/>
  <c r="H61"/>
  <c r="H62"/>
  <c r="H63"/>
  <c r="D47"/>
  <c r="H46"/>
  <c r="D46"/>
  <c r="H44"/>
  <c r="H45"/>
  <c r="D45"/>
  <c r="D44"/>
  <c r="H43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D21"/>
  <c r="H21"/>
  <c r="D20"/>
  <c r="H20"/>
  <c r="D19"/>
  <c r="H19"/>
  <c r="D18"/>
  <c r="H18"/>
  <c r="D17"/>
  <c r="H17"/>
  <c r="D16"/>
  <c r="H16"/>
  <c r="C15"/>
  <c r="D15"/>
  <c r="G12"/>
  <c r="D12"/>
  <c r="H12"/>
  <c r="D13"/>
  <c r="H13"/>
  <c r="D14"/>
  <c r="H14"/>
  <c r="H15"/>
  <c r="D15" i="6"/>
  <c r="H15"/>
  <c r="E15"/>
  <c r="G15"/>
  <c r="E13"/>
  <c r="E14"/>
  <c r="D14"/>
  <c r="D13"/>
  <c r="H14"/>
  <c r="G14"/>
  <c r="G13"/>
  <c r="H13"/>
</calcChain>
</file>

<file path=xl/sharedStrings.xml><?xml version="1.0" encoding="utf-8"?>
<sst xmlns="http://schemas.openxmlformats.org/spreadsheetml/2006/main" count="1056" uniqueCount="620">
  <si>
    <t>Metro fringe</t>
    <phoneticPr fontId="8" type="noConversion"/>
  </si>
  <si>
    <t>Metro suburbs</t>
    <phoneticPr fontId="8" type="noConversion"/>
  </si>
  <si>
    <t>Metro core</t>
    <phoneticPr fontId="8" type="noConversion"/>
  </si>
  <si>
    <t>Otherwise:</t>
    <phoneticPr fontId="8" type="noConversion"/>
  </si>
  <si>
    <t>http://www.realestate.com.au/neighbourhoods/</t>
  </si>
  <si>
    <t>Suburb profile tool</t>
    <phoneticPr fontId="8" type="noConversion"/>
  </si>
  <si>
    <t>Cost/ha</t>
    <phoneticPr fontId="3" type="noConversion"/>
  </si>
  <si>
    <t>Land Type</t>
    <phoneticPr fontId="8" type="noConversion"/>
  </si>
  <si>
    <t>Cost/ha</t>
    <phoneticPr fontId="8" type="noConversion"/>
  </si>
  <si>
    <t>Description</t>
    <phoneticPr fontId="3" type="noConversion"/>
  </si>
  <si>
    <t>4-3 Brooks Hill</t>
    <phoneticPr fontId="8" type="noConversion"/>
  </si>
  <si>
    <t>Addition to Brooks Hill Reserve</t>
    <phoneticPr fontId="8" type="noConversion"/>
  </si>
  <si>
    <t>Area (ha)</t>
    <phoneticPr fontId="8" type="noConversion"/>
  </si>
  <si>
    <t>Total cost</t>
    <phoneticPr fontId="8" type="noConversion"/>
  </si>
  <si>
    <t>Bungendore Plain</t>
    <phoneticPr fontId="3" type="noConversion"/>
  </si>
  <si>
    <t>4-4 Brooks Hill</t>
    <phoneticPr fontId="3" type="noConversion"/>
  </si>
  <si>
    <t>N/A</t>
    <phoneticPr fontId="3" type="noConversion"/>
  </si>
  <si>
    <t>4-4 Brooks Hill</t>
    <phoneticPr fontId="3" type="noConversion"/>
  </si>
  <si>
    <t>Fill widening</t>
    <phoneticPr fontId="3" type="noConversion"/>
  </si>
  <si>
    <t>4-4 Brooks Hill</t>
    <phoneticPr fontId="3" type="noConversion"/>
  </si>
  <si>
    <t>Single upgrade, 1 new</t>
    <phoneticPr fontId="3" type="noConversion"/>
  </si>
  <si>
    <t>4-4 Brooks Hill</t>
    <phoneticPr fontId="3" type="noConversion"/>
  </si>
  <si>
    <t>Security fence</t>
    <phoneticPr fontId="3" type="noConversion"/>
  </si>
  <si>
    <t>Drainage</t>
    <phoneticPr fontId="3" type="noConversion"/>
  </si>
  <si>
    <t>Minor grade separation (complex)</t>
    <phoneticPr fontId="3" type="noConversion"/>
  </si>
  <si>
    <t>Major grade separation</t>
    <phoneticPr fontId="3" type="noConversion"/>
  </si>
  <si>
    <t>Each</t>
    <phoneticPr fontId="3" type="noConversion"/>
  </si>
  <si>
    <t>Each</t>
    <phoneticPr fontId="3" type="noConversion"/>
  </si>
  <si>
    <t>Bungendore Station</t>
    <phoneticPr fontId="3" type="noConversion"/>
  </si>
  <si>
    <t>Description</t>
    <phoneticPr fontId="3" type="noConversion"/>
  </si>
  <si>
    <t>Already part of metropolitan train network</t>
    <phoneticPr fontId="3" type="noConversion"/>
  </si>
  <si>
    <t>Utilities relocation (rural)</t>
    <phoneticPr fontId="3" type="noConversion"/>
  </si>
  <si>
    <t>Utilities relocation (urban)</t>
    <phoneticPr fontId="3" type="noConversion"/>
  </si>
  <si>
    <t>Route-m</t>
    <phoneticPr fontId="3" type="noConversion"/>
  </si>
  <si>
    <t>Dual</t>
    <phoneticPr fontId="3" type="noConversion"/>
  </si>
  <si>
    <t>1-2 Canberra exit</t>
    <phoneticPr fontId="3" type="noConversion"/>
  </si>
  <si>
    <t>Balises</t>
    <phoneticPr fontId="3" type="noConversion"/>
  </si>
  <si>
    <t>Communications cable</t>
    <phoneticPr fontId="3" type="noConversion"/>
  </si>
  <si>
    <t>Each</t>
  </si>
  <si>
    <t>Each</t>
    <phoneticPr fontId="3" type="noConversion"/>
  </si>
  <si>
    <t>m</t>
    <phoneticPr fontId="3" type="noConversion"/>
  </si>
  <si>
    <t>m</t>
    <phoneticPr fontId="3" type="noConversion"/>
  </si>
  <si>
    <t>1-1 Canberra exit</t>
    <phoneticPr fontId="3" type="noConversion"/>
  </si>
  <si>
    <t>Length</t>
    <phoneticPr fontId="3" type="noConversion"/>
  </si>
  <si>
    <t>General Civil Works</t>
    <phoneticPr fontId="3" type="noConversion"/>
  </si>
  <si>
    <t>Unit</t>
  </si>
  <si>
    <t>Gravel road</t>
  </si>
  <si>
    <t>4-1 Brooks Hill</t>
    <phoneticPr fontId="3" type="noConversion"/>
  </si>
  <si>
    <t>Dual</t>
    <phoneticPr fontId="3" type="noConversion"/>
  </si>
  <si>
    <t>4-1 Brooks Hill</t>
    <phoneticPr fontId="3" type="noConversion"/>
  </si>
  <si>
    <t>Chainlink fence</t>
    <phoneticPr fontId="3" type="noConversion"/>
  </si>
  <si>
    <t>m</t>
    <phoneticPr fontId="3" type="noConversion"/>
  </si>
  <si>
    <t>4-1 Brooks Hill</t>
    <phoneticPr fontId="3" type="noConversion"/>
  </si>
  <si>
    <t>Drainage</t>
    <phoneticPr fontId="3" type="noConversion"/>
  </si>
  <si>
    <t>Pine Range Tunnel</t>
    <phoneticPr fontId="3" type="noConversion"/>
  </si>
  <si>
    <t>Kowen Forest Tunnel</t>
    <phoneticPr fontId="3" type="noConversion"/>
  </si>
  <si>
    <t>ACT Border Tunnel</t>
    <phoneticPr fontId="3" type="noConversion"/>
  </si>
  <si>
    <t>The nudist club's back fence</t>
    <phoneticPr fontId="3" type="noConversion"/>
  </si>
  <si>
    <t>4-2 Brooks Hill</t>
    <phoneticPr fontId="3" type="noConversion"/>
  </si>
  <si>
    <t>ACT Border Tunnel</t>
    <phoneticPr fontId="3" type="noConversion"/>
  </si>
  <si>
    <t>4-2 Brooks Hill</t>
    <phoneticPr fontId="3" type="noConversion"/>
  </si>
  <si>
    <t>Cut (rock)</t>
    <phoneticPr fontId="3" type="noConversion"/>
  </si>
  <si>
    <t>4-2 Brooks Hill</t>
    <phoneticPr fontId="3" type="noConversion"/>
  </si>
  <si>
    <t>Dual</t>
    <phoneticPr fontId="3" type="noConversion"/>
  </si>
  <si>
    <t>4-2 Brooks Hill</t>
    <phoneticPr fontId="3" type="noConversion"/>
  </si>
  <si>
    <t>Chainlink fence</t>
    <phoneticPr fontId="3" type="noConversion"/>
  </si>
  <si>
    <t>m</t>
    <phoneticPr fontId="3" type="noConversion"/>
  </si>
  <si>
    <t>Drainage</t>
    <phoneticPr fontId="3" type="noConversion"/>
  </si>
  <si>
    <t>Brooks Hill Curves</t>
    <phoneticPr fontId="3" type="noConversion"/>
  </si>
  <si>
    <t>4-3 Brooks Hill</t>
    <phoneticPr fontId="3" type="noConversion"/>
  </si>
  <si>
    <t>4-3 Brooks Hill</t>
    <phoneticPr fontId="3" type="noConversion"/>
  </si>
  <si>
    <t>Cost</t>
    <phoneticPr fontId="3" type="noConversion"/>
  </si>
  <si>
    <t>Turnouts</t>
    <phoneticPr fontId="3" type="noConversion"/>
  </si>
  <si>
    <t>Item</t>
  </si>
  <si>
    <t>Design speed</t>
  </si>
  <si>
    <t>Single track</t>
  </si>
  <si>
    <t>250km/h</t>
  </si>
  <si>
    <t>Dual track</t>
  </si>
  <si>
    <t>Dual slab track</t>
  </si>
  <si>
    <t>400km/h</t>
  </si>
  <si>
    <t>Low-speed turnout</t>
  </si>
  <si>
    <t>100km/h</t>
  </si>
  <si>
    <t>High-speed turnout</t>
  </si>
  <si>
    <t>200km/h</t>
  </si>
  <si>
    <t>Cost</t>
    <phoneticPr fontId="3" type="noConversion"/>
  </si>
  <si>
    <t>unit</t>
    <phoneticPr fontId="3" type="noConversion"/>
  </si>
  <si>
    <t>m</t>
    <phoneticPr fontId="3" type="noConversion"/>
  </si>
  <si>
    <t>each</t>
    <phoneticPr fontId="3" type="noConversion"/>
  </si>
  <si>
    <t>Sector</t>
    <phoneticPr fontId="3" type="noConversion"/>
  </si>
  <si>
    <t>Element</t>
    <phoneticPr fontId="3" type="noConversion"/>
  </si>
  <si>
    <t>Total</t>
    <phoneticPr fontId="3" type="noConversion"/>
  </si>
  <si>
    <t>Cost/km</t>
    <phoneticPr fontId="3" type="noConversion"/>
  </si>
  <si>
    <t>%</t>
    <phoneticPr fontId="3" type="noConversion"/>
  </si>
  <si>
    <t>Section</t>
    <phoneticPr fontId="3" type="noConversion"/>
  </si>
  <si>
    <t>Average Depth</t>
    <phoneticPr fontId="3" type="noConversion"/>
  </si>
  <si>
    <t>Volume</t>
    <phoneticPr fontId="3" type="noConversion"/>
  </si>
  <si>
    <t>Cost</t>
    <phoneticPr fontId="3" type="noConversion"/>
  </si>
  <si>
    <t>Non-rock cut</t>
    <phoneticPr fontId="3" type="noConversion"/>
  </si>
  <si>
    <t>Rock cut</t>
    <phoneticPr fontId="3" type="noConversion"/>
  </si>
  <si>
    <t>$</t>
    <phoneticPr fontId="3" type="noConversion"/>
  </si>
  <si>
    <t>m</t>
    <phoneticPr fontId="3" type="noConversion"/>
  </si>
  <si>
    <t>Length</t>
    <phoneticPr fontId="3" type="noConversion"/>
  </si>
  <si>
    <t>Tunnels</t>
    <phoneticPr fontId="3" type="noConversion"/>
  </si>
  <si>
    <t>Bridges</t>
    <phoneticPr fontId="3" type="noConversion"/>
  </si>
  <si>
    <t>Track</t>
    <phoneticPr fontId="3" type="noConversion"/>
  </si>
  <si>
    <t>S&amp;C</t>
    <phoneticPr fontId="3" type="noConversion"/>
  </si>
  <si>
    <t>Civil Works</t>
    <phoneticPr fontId="3" type="noConversion"/>
  </si>
  <si>
    <t>Stations</t>
    <phoneticPr fontId="3" type="noConversion"/>
  </si>
  <si>
    <t>3-1 Kowen Forest</t>
    <phoneticPr fontId="3" type="noConversion"/>
  </si>
  <si>
    <t>Operational as regional station, station buildings open</t>
    <phoneticPr fontId="3" type="noConversion"/>
  </si>
  <si>
    <t>Operational as regional station, station buildings closed</t>
    <phoneticPr fontId="3" type="noConversion"/>
  </si>
  <si>
    <t>Station closed, but buildings and platforms repairable</t>
    <phoneticPr fontId="3" type="noConversion"/>
  </si>
  <si>
    <t>No existing station, or existing station irreparable</t>
    <phoneticPr fontId="3" type="noConversion"/>
  </si>
  <si>
    <t>Minor regional station, partly operational</t>
    <phoneticPr fontId="3" type="noConversion"/>
  </si>
  <si>
    <t>Cost</t>
    <phoneticPr fontId="3" type="noConversion"/>
  </si>
  <si>
    <t>Brooks Hill</t>
    <phoneticPr fontId="8" type="noConversion"/>
  </si>
  <si>
    <t>Absolute</t>
    <phoneticPr fontId="8" type="noConversion"/>
  </si>
  <si>
    <t>Percentage</t>
    <phoneticPr fontId="8" type="noConversion"/>
  </si>
  <si>
    <t>Bush</t>
    <phoneticPr fontId="8" type="noConversion"/>
  </si>
  <si>
    <t>Rural low quality</t>
    <phoneticPr fontId="8" type="noConversion"/>
  </si>
  <si>
    <t>Rural typical</t>
    <phoneticPr fontId="8" type="noConversion"/>
  </si>
  <si>
    <t>Rural high quality</t>
    <phoneticPr fontId="8" type="noConversion"/>
  </si>
  <si>
    <t>Minor town</t>
    <phoneticPr fontId="8" type="noConversion"/>
  </si>
  <si>
    <t>Major town</t>
    <phoneticPr fontId="8" type="noConversion"/>
  </si>
  <si>
    <t>3-3 Kowen Forest</t>
    <phoneticPr fontId="3" type="noConversion"/>
  </si>
  <si>
    <t>Dual</t>
    <phoneticPr fontId="3" type="noConversion"/>
  </si>
  <si>
    <t>HQJOC approach</t>
    <phoneticPr fontId="3" type="noConversion"/>
  </si>
  <si>
    <t>3-4 Kowen Forest</t>
    <phoneticPr fontId="3" type="noConversion"/>
  </si>
  <si>
    <t>3-4 Kowen Forest</t>
    <phoneticPr fontId="3" type="noConversion"/>
  </si>
  <si>
    <t>Fill</t>
    <phoneticPr fontId="3" type="noConversion"/>
  </si>
  <si>
    <t>3-4 Kowen Forest</t>
    <phoneticPr fontId="3" type="noConversion"/>
  </si>
  <si>
    <t>3-4 Kowen Forest</t>
    <phoneticPr fontId="3" type="noConversion"/>
  </si>
  <si>
    <t>Overbridge duplication</t>
    <phoneticPr fontId="3" type="noConversion"/>
  </si>
  <si>
    <t>3-4 Kowen Forest</t>
    <phoneticPr fontId="3" type="noConversion"/>
  </si>
  <si>
    <t>m</t>
    <phoneticPr fontId="3" type="noConversion"/>
  </si>
  <si>
    <t>m</t>
    <phoneticPr fontId="3" type="noConversion"/>
  </si>
  <si>
    <t>Operational</t>
    <phoneticPr fontId="3" type="noConversion"/>
  </si>
  <si>
    <t>Partly operational</t>
    <phoneticPr fontId="3" type="noConversion"/>
  </si>
  <si>
    <t>Closed</t>
    <phoneticPr fontId="3" type="noConversion"/>
  </si>
  <si>
    <t>Greenfield</t>
    <phoneticPr fontId="3" type="noConversion"/>
  </si>
  <si>
    <t>Upgrade cost</t>
    <phoneticPr fontId="3" type="noConversion"/>
  </si>
  <si>
    <t>Custom</t>
    <phoneticPr fontId="3" type="noConversion"/>
  </si>
  <si>
    <t>Major metro station, greenfield, elevated</t>
    <phoneticPr fontId="3" type="noConversion"/>
  </si>
  <si>
    <t>Cut (rock)</t>
    <phoneticPr fontId="3" type="noConversion"/>
  </si>
  <si>
    <t>Cut (non-rock)</t>
    <phoneticPr fontId="3" type="noConversion"/>
  </si>
  <si>
    <t>PosNeg?</t>
    <phoneticPr fontId="3" type="noConversion"/>
  </si>
  <si>
    <t>Fill -1, cut +1</t>
    <phoneticPr fontId="3" type="noConversion"/>
  </si>
  <si>
    <t>1-8 Canberra exit</t>
    <phoneticPr fontId="3" type="noConversion"/>
  </si>
  <si>
    <t>Minor grade separation (simple)</t>
    <phoneticPr fontId="3" type="noConversion"/>
  </si>
  <si>
    <t>Each</t>
    <phoneticPr fontId="3" type="noConversion"/>
  </si>
  <si>
    <t>Third Molonglo Crossing</t>
    <phoneticPr fontId="3" type="noConversion"/>
  </si>
  <si>
    <t>Molonglo Gorge</t>
    <phoneticPr fontId="3" type="noConversion"/>
  </si>
  <si>
    <t>Kowen Forest</t>
    <phoneticPr fontId="3" type="noConversion"/>
  </si>
  <si>
    <t>1-9 Canberra exit</t>
    <phoneticPr fontId="3" type="noConversion"/>
  </si>
  <si>
    <t>Third Molonglo Crossing</t>
    <phoneticPr fontId="3" type="noConversion"/>
  </si>
  <si>
    <t>1-9 Canberra exit</t>
    <phoneticPr fontId="3" type="noConversion"/>
  </si>
  <si>
    <t>Balanced</t>
    <phoneticPr fontId="3" type="noConversion"/>
  </si>
  <si>
    <t>Pos = excess fill</t>
    <phoneticPr fontId="3" type="noConversion"/>
  </si>
  <si>
    <t>Neg = not enough fill</t>
    <phoneticPr fontId="3" type="noConversion"/>
  </si>
  <si>
    <t>Drainage</t>
    <phoneticPr fontId="3" type="noConversion"/>
  </si>
  <si>
    <t>m</t>
    <phoneticPr fontId="3" type="noConversion"/>
  </si>
  <si>
    <t>Drainage</t>
    <phoneticPr fontId="3" type="noConversion"/>
  </si>
  <si>
    <t>1-7 Canberra exit</t>
    <phoneticPr fontId="3" type="noConversion"/>
  </si>
  <si>
    <t>Drainage</t>
    <phoneticPr fontId="3" type="noConversion"/>
  </si>
  <si>
    <t>1-8 Canberra exit</t>
    <phoneticPr fontId="3" type="noConversion"/>
  </si>
  <si>
    <t>1-9 Canberra exit</t>
    <phoneticPr fontId="3" type="noConversion"/>
  </si>
  <si>
    <t>1-9 Canberra exit</t>
    <phoneticPr fontId="3" type="noConversion"/>
  </si>
  <si>
    <t>Canberra exit</t>
    <phoneticPr fontId="3" type="noConversion"/>
  </si>
  <si>
    <t>Gorge entry</t>
    <phoneticPr fontId="3" type="noConversion"/>
  </si>
  <si>
    <t>2-1 Molonglo Gorge</t>
    <phoneticPr fontId="3" type="noConversion"/>
  </si>
  <si>
    <t>Major grade separation</t>
  </si>
  <si>
    <t>Site clearance and minor demolition</t>
  </si>
  <si>
    <t>m2</t>
  </si>
  <si>
    <t>Lane-m</t>
    <phoneticPr fontId="3" type="noConversion"/>
  </si>
  <si>
    <t>Linear-m</t>
    <phoneticPr fontId="3" type="noConversion"/>
  </si>
  <si>
    <t>Route-m</t>
    <phoneticPr fontId="3" type="noConversion"/>
  </si>
  <si>
    <t>Sector</t>
    <phoneticPr fontId="3" type="noConversion"/>
  </si>
  <si>
    <t>Local bitumen road</t>
  </si>
  <si>
    <t>Main bitumen road</t>
  </si>
  <si>
    <t>Agricultural fence</t>
  </si>
  <si>
    <t>Chain link fence</t>
  </si>
  <si>
    <t>Security fence</t>
  </si>
  <si>
    <t>Armco barrier</t>
  </si>
  <si>
    <t>Concrete barrier</t>
  </si>
  <si>
    <t>Retaining wall</t>
  </si>
  <si>
    <t>Drainage</t>
  </si>
  <si>
    <t>Noise attenuation wall</t>
  </si>
  <si>
    <t>Level crossing (plain)</t>
  </si>
  <si>
    <t>Level crossing (lighted)</t>
  </si>
  <si>
    <t>Level crossing (gated)</t>
  </si>
  <si>
    <t>Farm underpass</t>
  </si>
  <si>
    <t>Minor grade separation (simple)</t>
  </si>
  <si>
    <t>Minor grade separation (complex)</t>
  </si>
  <si>
    <t>4-1 Brooks Hill</t>
    <phoneticPr fontId="3" type="noConversion"/>
  </si>
  <si>
    <t>Cut (rock)</t>
    <phoneticPr fontId="3" type="noConversion"/>
  </si>
  <si>
    <t>4-1 Brooks Hill</t>
    <phoneticPr fontId="3" type="noConversion"/>
  </si>
  <si>
    <t>Fill</t>
    <phoneticPr fontId="3" type="noConversion"/>
  </si>
  <si>
    <t>Cost function</t>
    <phoneticPr fontId="3" type="noConversion"/>
  </si>
  <si>
    <t>Total cost</t>
    <phoneticPr fontId="3" type="noConversion"/>
  </si>
  <si>
    <t>Tracks</t>
    <phoneticPr fontId="3" type="noConversion"/>
  </si>
  <si>
    <t>Trackbase width</t>
    <phoneticPr fontId="3" type="noConversion"/>
  </si>
  <si>
    <t>1-2 Canberra Exit</t>
    <phoneticPr fontId="3" type="noConversion"/>
  </si>
  <si>
    <t>Type</t>
    <phoneticPr fontId="3" type="noConversion"/>
  </si>
  <si>
    <t>Dual slab</t>
    <phoneticPr fontId="3" type="noConversion"/>
  </si>
  <si>
    <t>Seventh Molonglo Crossing</t>
    <phoneticPr fontId="3" type="noConversion"/>
  </si>
  <si>
    <t>1-5 Canberra exit</t>
    <phoneticPr fontId="3" type="noConversion"/>
  </si>
  <si>
    <t>1-5 Canberra exit</t>
    <phoneticPr fontId="3" type="noConversion"/>
  </si>
  <si>
    <t>1-1 Canberra exit</t>
    <phoneticPr fontId="3" type="noConversion"/>
  </si>
  <si>
    <t>Utilities relocation (urban)</t>
    <phoneticPr fontId="3" type="noConversion"/>
  </si>
  <si>
    <t>Retaining wall</t>
    <phoneticPr fontId="3" type="noConversion"/>
  </si>
  <si>
    <t>Unit</t>
    <phoneticPr fontId="3" type="noConversion"/>
  </si>
  <si>
    <t>m</t>
    <phoneticPr fontId="3" type="noConversion"/>
  </si>
  <si>
    <t>m2</t>
    <phoneticPr fontId="3" type="noConversion"/>
  </si>
  <si>
    <t>Minor grade separation (complex)</t>
    <phoneticPr fontId="3" type="noConversion"/>
  </si>
  <si>
    <t>Bombala line section</t>
    <phoneticPr fontId="3" type="noConversion"/>
  </si>
  <si>
    <t>1-6 Canberra Exit</t>
    <phoneticPr fontId="3" type="noConversion"/>
  </si>
  <si>
    <t>1-6 Canberra exit</t>
    <phoneticPr fontId="3" type="noConversion"/>
  </si>
  <si>
    <t>2-5 Molonglo Gorge</t>
    <phoneticPr fontId="3" type="noConversion"/>
  </si>
  <si>
    <t>Cut (rock)</t>
    <phoneticPr fontId="3" type="noConversion"/>
  </si>
  <si>
    <t>Chainlink fence</t>
    <phoneticPr fontId="3" type="noConversion"/>
  </si>
  <si>
    <t>Drainage</t>
    <phoneticPr fontId="3" type="noConversion"/>
  </si>
  <si>
    <t>m</t>
    <phoneticPr fontId="3" type="noConversion"/>
  </si>
  <si>
    <t>Sixth Molonglo Crossing</t>
    <phoneticPr fontId="3" type="noConversion"/>
  </si>
  <si>
    <t>2-6 Molonglo Gorge</t>
    <phoneticPr fontId="3" type="noConversion"/>
  </si>
  <si>
    <t>Sixth Molonglo Crossing (mainspan)</t>
    <phoneticPr fontId="3" type="noConversion"/>
  </si>
  <si>
    <t>Sixth Molonglo Crossing (approaches)</t>
    <phoneticPr fontId="3" type="noConversion"/>
  </si>
  <si>
    <t>Pine Range Cut</t>
    <phoneticPr fontId="3" type="noConversion"/>
  </si>
  <si>
    <t>2-7 Molonglo Gorge</t>
    <phoneticPr fontId="3" type="noConversion"/>
  </si>
  <si>
    <t>2-7 Molonglo Gorge</t>
    <phoneticPr fontId="3" type="noConversion"/>
  </si>
  <si>
    <t>Drainage</t>
    <phoneticPr fontId="3" type="noConversion"/>
  </si>
  <si>
    <t>Gorge exit</t>
    <phoneticPr fontId="3" type="noConversion"/>
  </si>
  <si>
    <t>2-8 Molonglo Gorge</t>
    <phoneticPr fontId="3" type="noConversion"/>
  </si>
  <si>
    <t>2-8 Molonglo Gorge</t>
    <phoneticPr fontId="3" type="noConversion"/>
  </si>
  <si>
    <t>Single upgrade, 1 new</t>
    <phoneticPr fontId="3" type="noConversion"/>
  </si>
  <si>
    <t>2-8 Molonglo Gorge</t>
    <phoneticPr fontId="3" type="noConversion"/>
  </si>
  <si>
    <t>Cut widening</t>
    <phoneticPr fontId="3" type="noConversion"/>
  </si>
  <si>
    <t>2-8 Molonglo Gorge</t>
    <phoneticPr fontId="3" type="noConversion"/>
  </si>
  <si>
    <t>Chainlink fence</t>
    <phoneticPr fontId="3" type="noConversion"/>
  </si>
  <si>
    <t>m</t>
    <phoneticPr fontId="3" type="noConversion"/>
  </si>
  <si>
    <t>Cut (non-rock)</t>
    <phoneticPr fontId="3" type="noConversion"/>
  </si>
  <si>
    <t>2-1 Molonglo Gorge</t>
    <phoneticPr fontId="3" type="noConversion"/>
  </si>
  <si>
    <t>m</t>
    <phoneticPr fontId="3" type="noConversion"/>
  </si>
  <si>
    <t>Fourth Molonglo Crossing</t>
    <phoneticPr fontId="3" type="noConversion"/>
  </si>
  <si>
    <t>Land</t>
    <phoneticPr fontId="3" type="noConversion"/>
  </si>
  <si>
    <t>Section</t>
    <phoneticPr fontId="3" type="noConversion"/>
  </si>
  <si>
    <t>Sector Length</t>
    <phoneticPr fontId="3" type="noConversion"/>
  </si>
  <si>
    <t>Sector Cumulative</t>
    <phoneticPr fontId="3" type="noConversion"/>
  </si>
  <si>
    <t>Fill</t>
    <phoneticPr fontId="3" type="noConversion"/>
  </si>
  <si>
    <t>Earthworks cost</t>
    <phoneticPr fontId="3" type="noConversion"/>
  </si>
  <si>
    <t>Seventh Molonglo Crossing (mainspan)</t>
    <phoneticPr fontId="3" type="noConversion"/>
  </si>
  <si>
    <t>Seventh Molonglo Crossing (approaches)</t>
    <phoneticPr fontId="3" type="noConversion"/>
  </si>
  <si>
    <t>Single upgrade, 1 new</t>
    <phoneticPr fontId="3" type="noConversion"/>
  </si>
  <si>
    <t>Drainage</t>
    <phoneticPr fontId="3" type="noConversion"/>
  </si>
  <si>
    <t>Grade separation upgrade</t>
    <phoneticPr fontId="3" type="noConversion"/>
  </si>
  <si>
    <t>Kowen Forest approach</t>
    <phoneticPr fontId="3" type="noConversion"/>
  </si>
  <si>
    <t>3-2 Kowen Forest</t>
    <phoneticPr fontId="3" type="noConversion"/>
  </si>
  <si>
    <t>Fill widening</t>
    <phoneticPr fontId="3" type="noConversion"/>
  </si>
  <si>
    <t>3-2 Kowen Forest</t>
    <phoneticPr fontId="3" type="noConversion"/>
  </si>
  <si>
    <t>3-1 Kowen Forest</t>
    <phoneticPr fontId="3" type="noConversion"/>
  </si>
  <si>
    <t>3-2 Kowen Forest</t>
    <phoneticPr fontId="3" type="noConversion"/>
  </si>
  <si>
    <t>m</t>
    <phoneticPr fontId="3" type="noConversion"/>
  </si>
  <si>
    <t>Chainlink fence</t>
    <phoneticPr fontId="3" type="noConversion"/>
  </si>
  <si>
    <t>Drainage</t>
    <phoneticPr fontId="3" type="noConversion"/>
  </si>
  <si>
    <t>3-3 Kowen Forest</t>
    <phoneticPr fontId="3" type="noConversion"/>
  </si>
  <si>
    <t>First Molonglo Crossing (mainspan)</t>
    <phoneticPr fontId="3" type="noConversion"/>
  </si>
  <si>
    <t>First Molonglo Crossing (viaduct)</t>
    <phoneticPr fontId="3" type="noConversion"/>
  </si>
  <si>
    <t>Dual</t>
    <phoneticPr fontId="3" type="noConversion"/>
  </si>
  <si>
    <t>1-3 Canberra exit</t>
    <phoneticPr fontId="3" type="noConversion"/>
  </si>
  <si>
    <t>1-4 Canberra Exit</t>
    <phoneticPr fontId="3" type="noConversion"/>
  </si>
  <si>
    <t>Station type</t>
    <phoneticPr fontId="3" type="noConversion"/>
  </si>
  <si>
    <t>Existing metro</t>
    <phoneticPr fontId="3" type="noConversion"/>
  </si>
  <si>
    <t>1-7 Canberra exit</t>
    <phoneticPr fontId="3" type="noConversion"/>
  </si>
  <si>
    <t>Second Molonglo Crossing</t>
    <phoneticPr fontId="3" type="noConversion"/>
  </si>
  <si>
    <t>1-7 Canberra exit</t>
    <phoneticPr fontId="3" type="noConversion"/>
  </si>
  <si>
    <t>Balance</t>
    <phoneticPr fontId="3" type="noConversion"/>
  </si>
  <si>
    <t>Type</t>
    <phoneticPr fontId="3" type="noConversion"/>
  </si>
  <si>
    <t>Cut</t>
    <phoneticPr fontId="3" type="noConversion"/>
  </si>
  <si>
    <t>Fill</t>
    <phoneticPr fontId="3" type="noConversion"/>
  </si>
  <si>
    <t>Balanced</t>
    <phoneticPr fontId="3" type="noConversion"/>
  </si>
  <si>
    <t>1-7 Canberra exit</t>
    <phoneticPr fontId="3" type="noConversion"/>
  </si>
  <si>
    <t>1-7 Canberra exit</t>
    <phoneticPr fontId="3" type="noConversion"/>
  </si>
  <si>
    <t>Minor grade separation (simple)</t>
    <phoneticPr fontId="3" type="noConversion"/>
  </si>
  <si>
    <t>Each</t>
    <phoneticPr fontId="3" type="noConversion"/>
  </si>
  <si>
    <t>Pialligo section</t>
    <phoneticPr fontId="3" type="noConversion"/>
  </si>
  <si>
    <t>1-8 Canberra exit</t>
    <phoneticPr fontId="3" type="noConversion"/>
  </si>
  <si>
    <t>2-2 Molonglo Gorge</t>
    <phoneticPr fontId="3" type="noConversion"/>
  </si>
  <si>
    <t>Fourth Molonglo Crossing (approaches)</t>
    <phoneticPr fontId="3" type="noConversion"/>
  </si>
  <si>
    <t>2-2 Molonglo Gorge</t>
    <phoneticPr fontId="3" type="noConversion"/>
  </si>
  <si>
    <t>2-2 Molonglo Gorge</t>
    <phoneticPr fontId="3" type="noConversion"/>
  </si>
  <si>
    <t>Fifth Molonglo Crossing</t>
    <phoneticPr fontId="3" type="noConversion"/>
  </si>
  <si>
    <t>2-3 Molonglo Gorge</t>
    <phoneticPr fontId="3" type="noConversion"/>
  </si>
  <si>
    <t>Fourth Molonglo Crossing (arches)</t>
    <phoneticPr fontId="3" type="noConversion"/>
  </si>
  <si>
    <t>Fifth Molonglo Crossing (arch)</t>
    <phoneticPr fontId="3" type="noConversion"/>
  </si>
  <si>
    <t>2-3 Molonglo Gorge</t>
    <phoneticPr fontId="3" type="noConversion"/>
  </si>
  <si>
    <t>Fifth Molonglo Crossing (approaches)</t>
    <phoneticPr fontId="3" type="noConversion"/>
  </si>
  <si>
    <t>2-3 Molonglo Gorge</t>
    <phoneticPr fontId="3" type="noConversion"/>
  </si>
  <si>
    <t>2-3 Molonglo Gorge</t>
    <phoneticPr fontId="3" type="noConversion"/>
  </si>
  <si>
    <t>Chainlink fence</t>
    <phoneticPr fontId="3" type="noConversion"/>
  </si>
  <si>
    <t>2-3 Molonglo Gorge</t>
    <phoneticPr fontId="3" type="noConversion"/>
  </si>
  <si>
    <t>2-4 Molonglo Gorge</t>
    <phoneticPr fontId="3" type="noConversion"/>
  </si>
  <si>
    <t>Tunnel type</t>
    <phoneticPr fontId="3" type="noConversion"/>
  </si>
  <si>
    <t xml:space="preserve">Design speed </t>
    <phoneticPr fontId="3" type="noConversion"/>
  </si>
  <si>
    <t>High-speed single track</t>
    <phoneticPr fontId="3" type="noConversion"/>
  </si>
  <si>
    <t>300km/h</t>
    <phoneticPr fontId="3" type="noConversion"/>
  </si>
  <si>
    <t>Second Molonglo Crossing</t>
    <phoneticPr fontId="3" type="noConversion"/>
  </si>
  <si>
    <t>2-1 Molonglo Gorge</t>
    <phoneticPr fontId="3" type="noConversion"/>
  </si>
  <si>
    <t>Cut widening</t>
    <phoneticPr fontId="3" type="noConversion"/>
  </si>
  <si>
    <t>Upgrade factor</t>
    <phoneticPr fontId="3" type="noConversion"/>
  </si>
  <si>
    <t>Single upgrade, 1 new</t>
    <phoneticPr fontId="3" type="noConversion"/>
  </si>
  <si>
    <t>Upgrade single</t>
    <phoneticPr fontId="3" type="noConversion"/>
  </si>
  <si>
    <t>Upgrade single, add track</t>
    <phoneticPr fontId="3" type="noConversion"/>
  </si>
  <si>
    <t>Upgrade dual</t>
    <phoneticPr fontId="3" type="noConversion"/>
  </si>
  <si>
    <t>Length/number</t>
    <phoneticPr fontId="3" type="noConversion"/>
  </si>
  <si>
    <t>Item</t>
    <phoneticPr fontId="3" type="noConversion"/>
  </si>
  <si>
    <t>Cost per unit</t>
    <phoneticPr fontId="3" type="noConversion"/>
  </si>
  <si>
    <t>Total</t>
    <phoneticPr fontId="3" type="noConversion"/>
  </si>
  <si>
    <t>Crossovers</t>
    <phoneticPr fontId="3" type="noConversion"/>
  </si>
  <si>
    <t>Total</t>
    <phoneticPr fontId="3" type="noConversion"/>
  </si>
  <si>
    <t>Canberra Station</t>
    <phoneticPr fontId="3" type="noConversion"/>
  </si>
  <si>
    <t>Section</t>
    <phoneticPr fontId="3" type="noConversion"/>
  </si>
  <si>
    <t>Type</t>
    <phoneticPr fontId="3" type="noConversion"/>
  </si>
  <si>
    <t>Short beam</t>
    <phoneticPr fontId="3" type="noConversion"/>
  </si>
  <si>
    <t>1-1 Canberra Exit</t>
    <phoneticPr fontId="3" type="noConversion"/>
  </si>
  <si>
    <t>Bridge type</t>
    <phoneticPr fontId="3" type="noConversion"/>
  </si>
  <si>
    <t>Sector</t>
    <phoneticPr fontId="3" type="noConversion"/>
  </si>
  <si>
    <t>Bridge name</t>
    <phoneticPr fontId="3" type="noConversion"/>
  </si>
  <si>
    <t>1-1 Canberra Exit</t>
    <phoneticPr fontId="3" type="noConversion"/>
  </si>
  <si>
    <t>City viaduct</t>
    <phoneticPr fontId="3" type="noConversion"/>
  </si>
  <si>
    <t>Length</t>
    <phoneticPr fontId="3" type="noConversion"/>
  </si>
  <si>
    <t>Mainspan</t>
    <phoneticPr fontId="3" type="noConversion"/>
  </si>
  <si>
    <t>5-2 Butmaroo</t>
    <phoneticPr fontId="8" type="noConversion"/>
  </si>
  <si>
    <t>1000m new corridor on farmland</t>
    <phoneticPr fontId="8" type="noConversion"/>
  </si>
  <si>
    <t>Small farm</t>
    <phoneticPr fontId="8" type="noConversion"/>
  </si>
  <si>
    <t>Lifestyle block</t>
    <phoneticPr fontId="8" type="noConversion"/>
  </si>
  <si>
    <t>Length</t>
    <phoneticPr fontId="8" type="noConversion"/>
  </si>
  <si>
    <t>Corridor width</t>
    <phoneticPr fontId="8" type="noConversion"/>
  </si>
  <si>
    <t>5-3 Butmaroo</t>
    <phoneticPr fontId="3" type="noConversion"/>
  </si>
  <si>
    <t>Fill</t>
    <phoneticPr fontId="3" type="noConversion"/>
  </si>
  <si>
    <t>m</t>
    <phoneticPr fontId="3" type="noConversion"/>
  </si>
  <si>
    <t>m</t>
    <phoneticPr fontId="3" type="noConversion"/>
  </si>
  <si>
    <t>Additional factor</t>
    <phoneticPr fontId="3" type="noConversion"/>
  </si>
  <si>
    <t>Turnouts cost</t>
    <phoneticPr fontId="3" type="noConversion"/>
  </si>
  <si>
    <t>Turnout type</t>
    <phoneticPr fontId="3" type="noConversion"/>
  </si>
  <si>
    <t>Low speed</t>
    <phoneticPr fontId="3" type="noConversion"/>
  </si>
  <si>
    <t>High speed</t>
    <phoneticPr fontId="3" type="noConversion"/>
  </si>
  <si>
    <t>1-4 Canberra Exit</t>
    <phoneticPr fontId="3" type="noConversion"/>
  </si>
  <si>
    <t>Dual</t>
    <phoneticPr fontId="3" type="noConversion"/>
  </si>
  <si>
    <t>1-4 Canberra exit</t>
    <phoneticPr fontId="3" type="noConversion"/>
  </si>
  <si>
    <t>Slope (x to 1)</t>
    <phoneticPr fontId="3" type="noConversion"/>
  </si>
  <si>
    <t>X-section Area</t>
    <phoneticPr fontId="3" type="noConversion"/>
  </si>
  <si>
    <t>Balanced Cut-Fill (non-rock)</t>
    <phoneticPr fontId="3" type="noConversion"/>
  </si>
  <si>
    <t>$</t>
    <phoneticPr fontId="3" type="noConversion"/>
  </si>
  <si>
    <t>Description</t>
    <phoneticPr fontId="3" type="noConversion"/>
  </si>
  <si>
    <t>City Viaduct</t>
    <phoneticPr fontId="3" type="noConversion"/>
  </si>
  <si>
    <t>Russel Section</t>
    <phoneticPr fontId="3" type="noConversion"/>
  </si>
  <si>
    <t>First Molonglo Crossing</t>
    <phoneticPr fontId="3" type="noConversion"/>
  </si>
  <si>
    <t>Fyshwick railway</t>
    <phoneticPr fontId="3" type="noConversion"/>
  </si>
  <si>
    <t>Beard shortcut</t>
    <phoneticPr fontId="3" type="noConversion"/>
  </si>
  <si>
    <t>1-5 Canberra Exit</t>
    <phoneticPr fontId="3" type="noConversion"/>
  </si>
  <si>
    <t>1-5 Canberra Exit</t>
    <phoneticPr fontId="3" type="noConversion"/>
  </si>
  <si>
    <t>300km/h</t>
    <phoneticPr fontId="3" type="noConversion"/>
  </si>
  <si>
    <t>200km/h</t>
    <phoneticPr fontId="3" type="noConversion"/>
  </si>
  <si>
    <t>High-speed dual track</t>
    <phoneticPr fontId="3" type="noConversion"/>
  </si>
  <si>
    <t>Medium speed single track</t>
    <phoneticPr fontId="3" type="noConversion"/>
  </si>
  <si>
    <t>Medium speed dual track</t>
    <phoneticPr fontId="3" type="noConversion"/>
  </si>
  <si>
    <t>OD (m)</t>
    <phoneticPr fontId="3" type="noConversion"/>
  </si>
  <si>
    <t>Cost per bore-m</t>
    <phoneticPr fontId="3" type="noConversion"/>
  </si>
  <si>
    <t>Cost/m</t>
    <phoneticPr fontId="3" type="noConversion"/>
  </si>
  <si>
    <t>Bores</t>
    <phoneticPr fontId="3" type="noConversion"/>
  </si>
  <si>
    <t>2-4 Molonglo Gorge</t>
    <phoneticPr fontId="3" type="noConversion"/>
  </si>
  <si>
    <t>Dual</t>
    <phoneticPr fontId="3" type="noConversion"/>
  </si>
  <si>
    <t>m</t>
    <phoneticPr fontId="3" type="noConversion"/>
  </si>
  <si>
    <t>Cut and Fill</t>
    <phoneticPr fontId="3" type="noConversion"/>
  </si>
  <si>
    <t>2-5 Molonglo Gorge</t>
    <phoneticPr fontId="3" type="noConversion"/>
  </si>
  <si>
    <t>Butmaroo</t>
    <phoneticPr fontId="3" type="noConversion"/>
  </si>
  <si>
    <t>Bungendore</t>
    <phoneticPr fontId="3" type="noConversion"/>
  </si>
  <si>
    <t>Turallo Creek crossing</t>
    <phoneticPr fontId="3" type="noConversion"/>
  </si>
  <si>
    <t>Bungendore Exit</t>
    <phoneticPr fontId="3" type="noConversion"/>
  </si>
  <si>
    <t>Butmaroo deviation</t>
    <phoneticPr fontId="3" type="noConversion"/>
  </si>
  <si>
    <t>5-1 Butmaroo</t>
    <phoneticPr fontId="3" type="noConversion"/>
  </si>
  <si>
    <t>Turallo Creek crossing</t>
    <phoneticPr fontId="3" type="noConversion"/>
  </si>
  <si>
    <t>Cost multiplier</t>
    <phoneticPr fontId="3" type="noConversion"/>
  </si>
  <si>
    <t>Halfway Creek box-culverts</t>
    <phoneticPr fontId="3" type="noConversion"/>
  </si>
  <si>
    <t>Pipe Culverts</t>
    <phoneticPr fontId="3" type="noConversion"/>
  </si>
  <si>
    <t>Box Culverts</t>
    <phoneticPr fontId="3" type="noConversion"/>
  </si>
  <si>
    <t>Spans</t>
    <phoneticPr fontId="3" type="noConversion"/>
  </si>
  <si>
    <t>Multiplier</t>
    <phoneticPr fontId="3" type="noConversion"/>
  </si>
  <si>
    <t>Signalling and control</t>
    <phoneticPr fontId="3" type="noConversion"/>
  </si>
  <si>
    <t>Sector</t>
    <phoneticPr fontId="3" type="noConversion"/>
  </si>
  <si>
    <t>Tunnel Name</t>
    <phoneticPr fontId="3" type="noConversion"/>
  </si>
  <si>
    <t>Length</t>
    <phoneticPr fontId="3" type="noConversion"/>
  </si>
  <si>
    <t>OD</t>
    <phoneticPr fontId="3" type="noConversion"/>
  </si>
  <si>
    <t>Earthwork volume</t>
    <phoneticPr fontId="3" type="noConversion"/>
  </si>
  <si>
    <t>Cost</t>
  </si>
  <si>
    <t>Cost</t>
    <phoneticPr fontId="3" type="noConversion"/>
  </si>
  <si>
    <t>Span range (m)</t>
  </si>
  <si>
    <t>A</t>
  </si>
  <si>
    <t>B</t>
  </si>
  <si>
    <t>Long beam</t>
  </si>
  <si>
    <t>50-350</t>
  </si>
  <si>
    <t>Truss</t>
  </si>
  <si>
    <t>80-350</t>
  </si>
  <si>
    <t>Deck-arch</t>
  </si>
  <si>
    <t>100-350</t>
  </si>
  <si>
    <t>Through-arch</t>
  </si>
  <si>
    <t>150-400</t>
  </si>
  <si>
    <t>Cable-stayed</t>
  </si>
  <si>
    <t>150-750</t>
  </si>
  <si>
    <t>Suspension</t>
  </si>
  <si>
    <t>500-2000</t>
  </si>
  <si>
    <t>1-3 Canberra Exit</t>
    <phoneticPr fontId="3" type="noConversion"/>
  </si>
  <si>
    <t>Minor grade separation (simple)</t>
    <phoneticPr fontId="3" type="noConversion"/>
  </si>
  <si>
    <t>Chainlink fence</t>
    <phoneticPr fontId="3" type="noConversion"/>
  </si>
  <si>
    <t>m</t>
    <phoneticPr fontId="3" type="noConversion"/>
  </si>
  <si>
    <t>Drainage</t>
    <phoneticPr fontId="3" type="noConversion"/>
  </si>
  <si>
    <t>5-3 Butmaroo</t>
    <phoneticPr fontId="8" type="noConversion"/>
  </si>
  <si>
    <t>60m corridor whole length. Small farms</t>
    <phoneticPr fontId="8" type="noConversion"/>
  </si>
  <si>
    <t>5-4 Butmaroo</t>
    <phoneticPr fontId="3" type="noConversion"/>
  </si>
  <si>
    <t>Earthwork Balance</t>
    <phoneticPr fontId="8" type="noConversion"/>
  </si>
  <si>
    <t>m3</t>
    <phoneticPr fontId="8" type="noConversion"/>
  </si>
  <si>
    <t>Cut widening</t>
    <phoneticPr fontId="3" type="noConversion"/>
  </si>
  <si>
    <t>5-4 Butmaroo</t>
    <phoneticPr fontId="3" type="noConversion"/>
  </si>
  <si>
    <t>5-4 Butmaroo</t>
    <phoneticPr fontId="3" type="noConversion"/>
  </si>
  <si>
    <t>Single upgrade, 1 new</t>
    <phoneticPr fontId="3" type="noConversion"/>
  </si>
  <si>
    <t>Each</t>
    <phoneticPr fontId="3" type="noConversion"/>
  </si>
  <si>
    <t>m</t>
    <phoneticPr fontId="3" type="noConversion"/>
  </si>
  <si>
    <t>5-4 Butmaroo</t>
    <phoneticPr fontId="8" type="noConversion"/>
  </si>
  <si>
    <t>60m corridor. Small farms</t>
    <phoneticPr fontId="8" type="noConversion"/>
  </si>
  <si>
    <t>Mt Fairy deviation and approach</t>
    <phoneticPr fontId="3" type="noConversion"/>
  </si>
  <si>
    <t>Tarago</t>
    <phoneticPr fontId="3" type="noConversion"/>
  </si>
  <si>
    <t>6-1 Tarago</t>
    <phoneticPr fontId="3" type="noConversion"/>
  </si>
  <si>
    <t>Balanced widening</t>
    <phoneticPr fontId="3" type="noConversion"/>
  </si>
  <si>
    <t>6-1 Tarago</t>
    <phoneticPr fontId="3" type="noConversion"/>
  </si>
  <si>
    <t>Single upgrade, 1 new</t>
    <phoneticPr fontId="3" type="noConversion"/>
  </si>
  <si>
    <t>6-1 Tarago</t>
    <phoneticPr fontId="3" type="noConversion"/>
  </si>
  <si>
    <t>Chainlink fence</t>
    <phoneticPr fontId="3" type="noConversion"/>
  </si>
  <si>
    <t>Drainage</t>
    <phoneticPr fontId="3" type="noConversion"/>
  </si>
  <si>
    <t>Farm underpass</t>
    <phoneticPr fontId="3" type="noConversion"/>
  </si>
  <si>
    <t>Minor grade separation (simple)</t>
    <phoneticPr fontId="3" type="noConversion"/>
  </si>
  <si>
    <t>First Mulwaree crossing</t>
    <phoneticPr fontId="3" type="noConversion"/>
  </si>
  <si>
    <t>6-2 Tarago</t>
    <phoneticPr fontId="3" type="noConversion"/>
  </si>
  <si>
    <t>6-2 Tarago</t>
    <phoneticPr fontId="3" type="noConversion"/>
  </si>
  <si>
    <t>Dual</t>
    <phoneticPr fontId="3" type="noConversion"/>
  </si>
  <si>
    <t>Chainlink fence</t>
    <phoneticPr fontId="3" type="noConversion"/>
  </si>
  <si>
    <t>Retaining wall</t>
    <phoneticPr fontId="3" type="noConversion"/>
  </si>
  <si>
    <t>m2</t>
    <phoneticPr fontId="3" type="noConversion"/>
  </si>
  <si>
    <t>6-2 Tarago</t>
    <phoneticPr fontId="8" type="noConversion"/>
  </si>
  <si>
    <t>Mulwaree deviation</t>
    <phoneticPr fontId="3" type="noConversion"/>
  </si>
  <si>
    <t>6-3 Tarago</t>
    <phoneticPr fontId="3" type="noConversion"/>
  </si>
  <si>
    <t>4+</t>
    <phoneticPr fontId="3" type="noConversion"/>
  </si>
  <si>
    <t>&lt;50</t>
    <phoneticPr fontId="3" type="noConversion"/>
  </si>
  <si>
    <t>5-1 Butmaroo</t>
    <phoneticPr fontId="3" type="noConversion"/>
  </si>
  <si>
    <t>Balanced</t>
    <phoneticPr fontId="3" type="noConversion"/>
  </si>
  <si>
    <t>5-1 Butmaroo</t>
    <phoneticPr fontId="3" type="noConversion"/>
  </si>
  <si>
    <t>Single upgrade</t>
    <phoneticPr fontId="3" type="noConversion"/>
  </si>
  <si>
    <t>Dual</t>
    <phoneticPr fontId="3" type="noConversion"/>
  </si>
  <si>
    <t>5-1 Butmaroo</t>
    <phoneticPr fontId="3" type="noConversion"/>
  </si>
  <si>
    <t>Low speed</t>
    <phoneticPr fontId="3" type="noConversion"/>
  </si>
  <si>
    <t>Low speed</t>
    <phoneticPr fontId="3" type="noConversion"/>
  </si>
  <si>
    <t>Security fence</t>
    <phoneticPr fontId="3" type="noConversion"/>
  </si>
  <si>
    <t>m</t>
    <phoneticPr fontId="3" type="noConversion"/>
  </si>
  <si>
    <t>Drainage</t>
    <phoneticPr fontId="3" type="noConversion"/>
  </si>
  <si>
    <t>m</t>
    <phoneticPr fontId="3" type="noConversion"/>
  </si>
  <si>
    <t>5-1 Butmaroo</t>
    <phoneticPr fontId="8" type="noConversion"/>
  </si>
  <si>
    <t>5 houses on Powell St, Bungendore</t>
    <phoneticPr fontId="8" type="noConversion"/>
  </si>
  <si>
    <t>N/A</t>
    <phoneticPr fontId="8" type="noConversion"/>
  </si>
  <si>
    <t>Cost per property</t>
    <phoneticPr fontId="8" type="noConversion"/>
  </si>
  <si>
    <t>Butmaroo</t>
    <phoneticPr fontId="8" type="noConversion"/>
  </si>
  <si>
    <t>Crossover signal</t>
    <phoneticPr fontId="3" type="noConversion"/>
  </si>
  <si>
    <t>Minor creek culverts</t>
    <phoneticPr fontId="3" type="noConversion"/>
  </si>
  <si>
    <t>N/A</t>
    <phoneticPr fontId="3" type="noConversion"/>
  </si>
  <si>
    <t>5-2 Butmaroo</t>
    <phoneticPr fontId="3" type="noConversion"/>
  </si>
  <si>
    <t>5-2 Butmaroo</t>
    <phoneticPr fontId="3" type="noConversion"/>
  </si>
  <si>
    <t>Butmaroo Creek crossing</t>
    <phoneticPr fontId="3" type="noConversion"/>
  </si>
  <si>
    <t>5-2 Butmaroo</t>
    <phoneticPr fontId="3" type="noConversion"/>
  </si>
  <si>
    <t>Fill widening</t>
    <phoneticPr fontId="3" type="noConversion"/>
  </si>
  <si>
    <t>Cut (rock)</t>
    <phoneticPr fontId="3" type="noConversion"/>
  </si>
  <si>
    <t>Cut widening</t>
    <phoneticPr fontId="3" type="noConversion"/>
  </si>
  <si>
    <t>Fill widening</t>
    <phoneticPr fontId="3" type="noConversion"/>
  </si>
  <si>
    <t>Cut widening</t>
    <phoneticPr fontId="3" type="noConversion"/>
  </si>
  <si>
    <t>5-2 Butmaroo</t>
    <phoneticPr fontId="3" type="noConversion"/>
  </si>
  <si>
    <t>Single upgrade, 1 new</t>
    <phoneticPr fontId="3" type="noConversion"/>
  </si>
  <si>
    <t>Dual</t>
    <phoneticPr fontId="3" type="noConversion"/>
  </si>
  <si>
    <t>Chainlink fence</t>
    <phoneticPr fontId="3" type="noConversion"/>
  </si>
  <si>
    <t>Each</t>
    <phoneticPr fontId="3" type="noConversion"/>
  </si>
  <si>
    <t>8-1 Mulwaree Valley</t>
    <phoneticPr fontId="3" type="noConversion"/>
  </si>
  <si>
    <t>Single upgrade, 1 new</t>
    <phoneticPr fontId="3" type="noConversion"/>
  </si>
  <si>
    <t>8-1 Mulwaree Valley</t>
    <phoneticPr fontId="3" type="noConversion"/>
  </si>
  <si>
    <t>Minor grade separation (complex)</t>
    <phoneticPr fontId="3" type="noConversion"/>
  </si>
  <si>
    <t>Mulwaree Valley</t>
    <phoneticPr fontId="8" type="noConversion"/>
  </si>
  <si>
    <t>Goulburn approach</t>
    <phoneticPr fontId="3" type="noConversion"/>
  </si>
  <si>
    <t>5th Mulwaree crossing</t>
    <phoneticPr fontId="3" type="noConversion"/>
  </si>
  <si>
    <t>6th Mulwaree crossing</t>
    <phoneticPr fontId="3" type="noConversion"/>
  </si>
  <si>
    <t>Goulburn sidings</t>
    <phoneticPr fontId="3" type="noConversion"/>
  </si>
  <si>
    <t>Deviation start</t>
    <phoneticPr fontId="3" type="noConversion"/>
  </si>
  <si>
    <t>9-1 Goulburn</t>
    <phoneticPr fontId="3" type="noConversion"/>
  </si>
  <si>
    <t>8-1 Mulwaree Valley</t>
    <phoneticPr fontId="3" type="noConversion"/>
  </si>
  <si>
    <t>9-1 Goulburn</t>
    <phoneticPr fontId="3" type="noConversion"/>
  </si>
  <si>
    <t>Dual</t>
    <phoneticPr fontId="3" type="noConversion"/>
  </si>
  <si>
    <t>9-1 Goulburn</t>
    <phoneticPr fontId="3" type="noConversion"/>
  </si>
  <si>
    <t>Chainlink fence</t>
    <phoneticPr fontId="3" type="noConversion"/>
  </si>
  <si>
    <t>m</t>
    <phoneticPr fontId="3" type="noConversion"/>
  </si>
  <si>
    <t>Farm underpass</t>
    <phoneticPr fontId="3" type="noConversion"/>
  </si>
  <si>
    <t>Each</t>
    <phoneticPr fontId="3" type="noConversion"/>
  </si>
  <si>
    <t>9-2 Goulburn</t>
    <phoneticPr fontId="3" type="noConversion"/>
  </si>
  <si>
    <t>9-1 Goulburn</t>
    <phoneticPr fontId="8" type="noConversion"/>
  </si>
  <si>
    <t>Cut (rock)</t>
    <phoneticPr fontId="3" type="noConversion"/>
  </si>
  <si>
    <t>Balanced widening</t>
    <phoneticPr fontId="3" type="noConversion"/>
  </si>
  <si>
    <t>6-3 Tarago</t>
    <phoneticPr fontId="3" type="noConversion"/>
  </si>
  <si>
    <t>6-3 Tarago</t>
    <phoneticPr fontId="3" type="noConversion"/>
  </si>
  <si>
    <t>Single upgrade, 1 new</t>
    <phoneticPr fontId="3" type="noConversion"/>
  </si>
  <si>
    <t>6-3 Tarago</t>
    <phoneticPr fontId="8" type="noConversion"/>
  </si>
  <si>
    <t>40m corridor, small farm.</t>
    <phoneticPr fontId="8" type="noConversion"/>
  </si>
  <si>
    <t>2nd, 3rd and 4th Mulwaree crossings</t>
    <phoneticPr fontId="3" type="noConversion"/>
  </si>
  <si>
    <t>6-4 Tarago</t>
    <phoneticPr fontId="3" type="noConversion"/>
  </si>
  <si>
    <t>Second Mulwaree crossing</t>
    <phoneticPr fontId="3" type="noConversion"/>
  </si>
  <si>
    <t>Third Mulwaree crossing</t>
    <phoneticPr fontId="3" type="noConversion"/>
  </si>
  <si>
    <t>Fourth Mulwaree crossing</t>
    <phoneticPr fontId="3" type="noConversion"/>
  </si>
  <si>
    <t>Dual</t>
    <phoneticPr fontId="3" type="noConversion"/>
  </si>
  <si>
    <t>6-4 Tarago</t>
    <phoneticPr fontId="8" type="noConversion"/>
  </si>
  <si>
    <t>Tarago approach</t>
    <phoneticPr fontId="3" type="noConversion"/>
  </si>
  <si>
    <t>6-5 Tarago</t>
    <phoneticPr fontId="3" type="noConversion"/>
  </si>
  <si>
    <t>6-5 Tarago</t>
    <phoneticPr fontId="3" type="noConversion"/>
  </si>
  <si>
    <t>Security fence</t>
    <phoneticPr fontId="3" type="noConversion"/>
  </si>
  <si>
    <t>m</t>
    <phoneticPr fontId="3" type="noConversion"/>
  </si>
  <si>
    <t>m</t>
    <phoneticPr fontId="3" type="noConversion"/>
  </si>
  <si>
    <t>Each</t>
    <phoneticPr fontId="3" type="noConversion"/>
  </si>
  <si>
    <t>Major grade separation</t>
    <phoneticPr fontId="3" type="noConversion"/>
  </si>
  <si>
    <t>Tarago</t>
    <phoneticPr fontId="8" type="noConversion"/>
  </si>
  <si>
    <t>Tarago Station</t>
    <phoneticPr fontId="3" type="noConversion"/>
  </si>
  <si>
    <t>Minor regional station, partly operational</t>
    <phoneticPr fontId="3" type="noConversion"/>
  </si>
  <si>
    <t>Tunnels</t>
    <phoneticPr fontId="8" type="noConversion"/>
  </si>
  <si>
    <t>Bridges</t>
    <phoneticPr fontId="8" type="noConversion"/>
  </si>
  <si>
    <t>Earthworks</t>
    <phoneticPr fontId="8" type="noConversion"/>
  </si>
  <si>
    <t>Track</t>
    <phoneticPr fontId="8" type="noConversion"/>
  </si>
  <si>
    <t>S&amp;C</t>
    <phoneticPr fontId="8" type="noConversion"/>
  </si>
  <si>
    <t>Civil works</t>
    <phoneticPr fontId="8" type="noConversion"/>
  </si>
  <si>
    <t>Stations</t>
    <phoneticPr fontId="8" type="noConversion"/>
  </si>
  <si>
    <t>Land</t>
    <phoneticPr fontId="8" type="noConversion"/>
  </si>
  <si>
    <t>Mt Fairy exit</t>
    <phoneticPr fontId="3" type="noConversion"/>
  </si>
  <si>
    <t>Lake Bathurst</t>
    <phoneticPr fontId="3" type="noConversion"/>
  </si>
  <si>
    <t>Tarago exit</t>
    <phoneticPr fontId="3" type="noConversion"/>
  </si>
  <si>
    <t>7-1 Lake Bathurst</t>
    <phoneticPr fontId="3" type="noConversion"/>
  </si>
  <si>
    <t>7-1 Lake Bathurst</t>
    <phoneticPr fontId="3" type="noConversion"/>
  </si>
  <si>
    <t>Dual</t>
    <phoneticPr fontId="3" type="noConversion"/>
  </si>
  <si>
    <t>7-1 Lake Bathurst</t>
    <phoneticPr fontId="3" type="noConversion"/>
  </si>
  <si>
    <t>Drainage</t>
    <phoneticPr fontId="3" type="noConversion"/>
  </si>
  <si>
    <t>Farm underpass</t>
    <phoneticPr fontId="3" type="noConversion"/>
  </si>
  <si>
    <t>Each</t>
    <phoneticPr fontId="3" type="noConversion"/>
  </si>
  <si>
    <t>7-1 Lake Bathurst</t>
    <phoneticPr fontId="8" type="noConversion"/>
  </si>
  <si>
    <t>60m corridor, small farm</t>
    <phoneticPr fontId="8" type="noConversion"/>
  </si>
  <si>
    <t>7-2 Lake Bathurst</t>
    <phoneticPr fontId="3" type="noConversion"/>
  </si>
  <si>
    <t>Dual</t>
    <phoneticPr fontId="3" type="noConversion"/>
  </si>
  <si>
    <t>5-3 Butmaroo</t>
    <phoneticPr fontId="3" type="noConversion"/>
  </si>
  <si>
    <t>Farm underpass</t>
    <phoneticPr fontId="3" type="noConversion"/>
  </si>
  <si>
    <t>Total</t>
    <phoneticPr fontId="3" type="noConversion"/>
  </si>
  <si>
    <t>Station</t>
    <phoneticPr fontId="3" type="noConversion"/>
  </si>
  <si>
    <t>Spaces</t>
    <phoneticPr fontId="3" type="noConversion"/>
  </si>
  <si>
    <t>Car park</t>
    <phoneticPr fontId="3" type="noConversion"/>
  </si>
  <si>
    <t>Goulburn approach</t>
    <phoneticPr fontId="8" type="noConversion"/>
  </si>
  <si>
    <t>40m corridor, small farm, plus new shed</t>
    <phoneticPr fontId="8" type="noConversion"/>
  </si>
  <si>
    <t>Next to Braidwood Road</t>
    <phoneticPr fontId="3" type="noConversion"/>
  </si>
  <si>
    <t>40m corridor, small farm.</t>
    <phoneticPr fontId="8" type="noConversion"/>
  </si>
  <si>
    <t>9-2 Goulburn</t>
    <phoneticPr fontId="3" type="noConversion"/>
  </si>
  <si>
    <t>Fifth Mulwaree crossing</t>
    <phoneticPr fontId="3" type="noConversion"/>
  </si>
  <si>
    <t>9-2 Goulburn</t>
    <phoneticPr fontId="3" type="noConversion"/>
  </si>
  <si>
    <t>m</t>
    <phoneticPr fontId="3" type="noConversion"/>
  </si>
  <si>
    <t>9-2 Goulburn</t>
    <phoneticPr fontId="8" type="noConversion"/>
  </si>
  <si>
    <t>40m corridor, small farm.</t>
    <phoneticPr fontId="8" type="noConversion"/>
  </si>
  <si>
    <t>9-3 Goulburn</t>
    <phoneticPr fontId="3" type="noConversion"/>
  </si>
  <si>
    <t>Cut (non-rock)</t>
    <phoneticPr fontId="3" type="noConversion"/>
  </si>
  <si>
    <t>9-3 Goulburn</t>
    <phoneticPr fontId="3" type="noConversion"/>
  </si>
  <si>
    <t>Dual</t>
    <phoneticPr fontId="3" type="noConversion"/>
  </si>
  <si>
    <t>9-3 Goulburn</t>
    <phoneticPr fontId="3" type="noConversion"/>
  </si>
  <si>
    <t>Chainlink fence</t>
    <phoneticPr fontId="3" type="noConversion"/>
  </si>
  <si>
    <t>Drainage</t>
    <phoneticPr fontId="3" type="noConversion"/>
  </si>
  <si>
    <t>9-3 Goulburn</t>
    <phoneticPr fontId="8" type="noConversion"/>
  </si>
  <si>
    <t>9-4 Goulburn</t>
    <phoneticPr fontId="3" type="noConversion"/>
  </si>
  <si>
    <t>Sixth Mulwaree crossing</t>
    <phoneticPr fontId="3" type="noConversion"/>
  </si>
  <si>
    <t>9-4 Goulburn</t>
    <phoneticPr fontId="3" type="noConversion"/>
  </si>
  <si>
    <t>9-5 Goulburn</t>
    <phoneticPr fontId="3" type="noConversion"/>
  </si>
  <si>
    <t>9-4 Goulburn</t>
    <phoneticPr fontId="3" type="noConversion"/>
  </si>
  <si>
    <t>Chainlink fence</t>
    <phoneticPr fontId="3" type="noConversion"/>
  </si>
  <si>
    <t>9-4 Goulburn</t>
    <phoneticPr fontId="8" type="noConversion"/>
  </si>
  <si>
    <t>9-5 Goulburn</t>
    <phoneticPr fontId="3" type="noConversion"/>
  </si>
  <si>
    <t>9-5 Goulburn</t>
    <phoneticPr fontId="3" type="noConversion"/>
  </si>
  <si>
    <t>Dual upgrade</t>
    <phoneticPr fontId="3" type="noConversion"/>
  </si>
  <si>
    <t>High speed</t>
    <phoneticPr fontId="3" type="noConversion"/>
  </si>
  <si>
    <t>Major grade separation</t>
    <phoneticPr fontId="3" type="noConversion"/>
  </si>
  <si>
    <t>Utilities relocation (urban)</t>
    <phoneticPr fontId="3" type="noConversion"/>
  </si>
  <si>
    <t>Site clearance and minor demolition</t>
    <phoneticPr fontId="3" type="noConversion"/>
  </si>
  <si>
    <t>Goulburn Station</t>
    <phoneticPr fontId="3" type="noConversion"/>
  </si>
  <si>
    <t>Cost per space</t>
    <phoneticPr fontId="3" type="noConversion"/>
  </si>
  <si>
    <t>Car park type</t>
    <phoneticPr fontId="3" type="noConversion"/>
  </si>
  <si>
    <t>At-grade</t>
    <phoneticPr fontId="3" type="noConversion"/>
  </si>
  <si>
    <t>Multi-level (below ground)</t>
    <phoneticPr fontId="3" type="noConversion"/>
  </si>
  <si>
    <t>Multi-level (above ground)</t>
    <phoneticPr fontId="3" type="noConversion"/>
  </si>
  <si>
    <t>Major regional station, operational. 500-space multi-level carpark</t>
    <phoneticPr fontId="3" type="noConversion"/>
  </si>
  <si>
    <t>Chainlink fence</t>
    <phoneticPr fontId="3" type="noConversion"/>
  </si>
  <si>
    <t>Drainage</t>
    <phoneticPr fontId="3" type="noConversion"/>
  </si>
  <si>
    <t>m</t>
    <phoneticPr fontId="3" type="noConversion"/>
  </si>
  <si>
    <t>7-2 Lake Bathurst</t>
    <phoneticPr fontId="8" type="noConversion"/>
  </si>
  <si>
    <t>Farmhouse in the way, acquire whole farm</t>
    <phoneticPr fontId="8" type="noConversion"/>
  </si>
  <si>
    <t>N/A</t>
    <phoneticPr fontId="8" type="noConversion"/>
  </si>
  <si>
    <t>Braidwood Road deviation</t>
    <phoneticPr fontId="3" type="noConversion"/>
  </si>
  <si>
    <t>Lake Bathurst approach</t>
    <phoneticPr fontId="3" type="noConversion"/>
  </si>
  <si>
    <t>7-3 Lake Bathurst</t>
    <phoneticPr fontId="3" type="noConversion"/>
  </si>
  <si>
    <t>Bongaralaby Creek crossing</t>
    <phoneticPr fontId="3" type="noConversion"/>
  </si>
  <si>
    <t>7-3 Lake Bathurst</t>
    <phoneticPr fontId="3" type="noConversion"/>
  </si>
  <si>
    <t>7-3 Lake Bathurst</t>
    <phoneticPr fontId="3" type="noConversion"/>
  </si>
  <si>
    <t>Farm underpass</t>
    <phoneticPr fontId="3" type="noConversion"/>
  </si>
  <si>
    <t>Lake Bathurst Halt</t>
    <phoneticPr fontId="3" type="noConversion"/>
  </si>
  <si>
    <t xml:space="preserve">Small station, unstaffed. </t>
    <phoneticPr fontId="3" type="noConversion"/>
  </si>
  <si>
    <t>$5-100m depending on complexity</t>
    <phoneticPr fontId="3" type="noConversion"/>
  </si>
  <si>
    <t>Lake Bathurst</t>
    <phoneticPr fontId="8" type="noConversion"/>
  </si>
  <si>
    <t>TOTAL</t>
    <phoneticPr fontId="8" type="noConversion"/>
  </si>
  <si>
    <t>Component</t>
    <phoneticPr fontId="8" type="noConversion"/>
  </si>
  <si>
    <t>Cost ($m)</t>
    <phoneticPr fontId="8" type="noConversion"/>
  </si>
  <si>
    <t>Percentage</t>
    <phoneticPr fontId="8" type="noConversion"/>
  </si>
  <si>
    <t>Mulwaree Valley</t>
    <phoneticPr fontId="3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</si>
</sst>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165" formatCode="&quot;$&quot;#,##0"/>
    <numFmt numFmtId="166" formatCode="&quot;$&quot;#,##0.00"/>
    <numFmt numFmtId="167" formatCode="0.0%"/>
    <numFmt numFmtId="168" formatCode="0"/>
    <numFmt numFmtId="169" formatCode="0.0"/>
    <numFmt numFmtId="170" formatCode="#,##0.0"/>
  </numFmts>
  <fonts count="9">
    <font>
      <sz val="11"/>
      <name val="Arial"/>
    </font>
    <font>
      <b/>
      <sz val="11"/>
      <name val="Arial"/>
    </font>
    <font>
      <b/>
      <sz val="11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sz val="12"/>
      <color indexed="63"/>
      <name val="Arial"/>
    </font>
    <font>
      <sz val="12"/>
      <color indexed="63"/>
      <name val="Arial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5" fontId="0" fillId="0" borderId="0" xfId="0" applyNumberFormat="1"/>
    <xf numFmtId="165" fontId="0" fillId="0" borderId="0" xfId="0" applyNumberFormat="1"/>
    <xf numFmtId="10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4" fillId="0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Fill="1" applyBorder="1" applyAlignment="1">
      <alignment vertical="top" wrapText="1"/>
    </xf>
    <xf numFmtId="17" fontId="5" fillId="0" borderId="0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165" fontId="5" fillId="0" borderId="0" xfId="0" applyNumberFormat="1" applyFont="1"/>
    <xf numFmtId="0" fontId="4" fillId="0" borderId="3" xfId="0" applyFont="1" applyBorder="1" applyAlignment="1">
      <alignment horizontal="left" wrapText="1"/>
    </xf>
    <xf numFmtId="0" fontId="0" fillId="0" borderId="3" xfId="0" applyBorder="1"/>
    <xf numFmtId="0" fontId="5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0" borderId="0" xfId="0" applyBorder="1"/>
    <xf numFmtId="165" fontId="0" fillId="0" borderId="0" xfId="0" applyNumberFormat="1" applyBorder="1"/>
    <xf numFmtId="16" fontId="0" fillId="0" borderId="0" xfId="0" applyNumberFormat="1" applyBorder="1"/>
    <xf numFmtId="0" fontId="0" fillId="0" borderId="0" xfId="0" applyFill="1" applyBorder="1"/>
    <xf numFmtId="0" fontId="4" fillId="0" borderId="3" xfId="0" applyFont="1" applyFill="1" applyBorder="1" applyAlignment="1">
      <alignment horizontal="left" wrapText="1"/>
    </xf>
    <xf numFmtId="0" fontId="0" fillId="0" borderId="3" xfId="0" applyFill="1" applyBorder="1"/>
    <xf numFmtId="0" fontId="6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left" vertical="top" wrapText="1"/>
    </xf>
    <xf numFmtId="3" fontId="0" fillId="0" borderId="0" xfId="0" applyNumberFormat="1"/>
    <xf numFmtId="165" fontId="0" fillId="0" borderId="0" xfId="0" applyNumberFormat="1"/>
    <xf numFmtId="0" fontId="4" fillId="0" borderId="4" xfId="0" applyFont="1" applyFill="1" applyBorder="1" applyAlignment="1">
      <alignment horizontal="left" wrapText="1"/>
    </xf>
    <xf numFmtId="9" fontId="0" fillId="0" borderId="0" xfId="0" applyNumberFormat="1" applyBorder="1"/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2" fillId="0" borderId="0" xfId="0" applyFont="1"/>
    <xf numFmtId="165" fontId="2" fillId="0" borderId="0" xfId="0" applyNumberFormat="1" applyFont="1"/>
    <xf numFmtId="165" fontId="2" fillId="0" borderId="0" xfId="0" applyNumberFormat="1" applyFont="1"/>
    <xf numFmtId="16" fontId="0" fillId="0" borderId="0" xfId="0" applyNumberFormat="1"/>
    <xf numFmtId="1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5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167" fontId="0" fillId="0" borderId="0" xfId="0" applyNumberFormat="1"/>
    <xf numFmtId="166" fontId="0" fillId="0" borderId="0" xfId="0" applyNumberFormat="1"/>
    <xf numFmtId="168" fontId="0" fillId="0" borderId="0" xfId="0" applyNumberFormat="1"/>
    <xf numFmtId="167" fontId="0" fillId="0" borderId="0" xfId="0" applyNumberFormat="1"/>
    <xf numFmtId="170" fontId="0" fillId="0" borderId="0" xfId="0" applyNumberFormat="1"/>
    <xf numFmtId="0" fontId="4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H56"/>
  <sheetViews>
    <sheetView zoomScale="150" workbookViewId="0">
      <pane xSplit="2" ySplit="3" topLeftCell="C14" activePane="bottomRight" state="frozen"/>
      <selection pane="topRight" activeCell="C1" sqref="C1"/>
      <selection pane="bottomLeft" activeCell="A2" sqref="A2"/>
      <selection pane="bottomRight" activeCell="B51" sqref="B51"/>
    </sheetView>
  </sheetViews>
  <sheetFormatPr baseColWidth="10" defaultRowHeight="13"/>
  <cols>
    <col min="1" max="1" width="16.140625" bestFit="1" customWidth="1"/>
    <col min="2" max="2" width="16.140625" style="1" customWidth="1"/>
    <col min="3" max="3" width="26.85546875" style="31" bestFit="1" customWidth="1"/>
    <col min="4" max="4" width="10.85546875" customWidth="1"/>
    <col min="5" max="5" width="14" bestFit="1" customWidth="1"/>
    <col min="6" max="6" width="14" style="47" customWidth="1"/>
    <col min="8" max="8" width="10.7109375" style="46"/>
    <col min="9" max="9" width="14.5703125" customWidth="1"/>
  </cols>
  <sheetData>
    <row r="1" spans="1:27" s="2" customFormat="1">
      <c r="A1" s="2" t="s">
        <v>244</v>
      </c>
      <c r="C1" s="31" t="s">
        <v>352</v>
      </c>
      <c r="D1" s="2" t="s">
        <v>245</v>
      </c>
      <c r="E1" s="2" t="s">
        <v>246</v>
      </c>
      <c r="F1" s="47" t="s">
        <v>91</v>
      </c>
      <c r="G1" s="2" t="s">
        <v>102</v>
      </c>
      <c r="H1" s="46" t="s">
        <v>103</v>
      </c>
      <c r="I1" s="2" t="s">
        <v>248</v>
      </c>
      <c r="J1" s="2" t="s">
        <v>104</v>
      </c>
      <c r="K1" s="2" t="s">
        <v>105</v>
      </c>
      <c r="L1" s="2" t="s">
        <v>106</v>
      </c>
      <c r="M1" s="2" t="s">
        <v>107</v>
      </c>
      <c r="N1" s="2" t="s">
        <v>243</v>
      </c>
    </row>
    <row r="2" spans="1:27" s="2" customFormat="1">
      <c r="A2" s="2" t="s">
        <v>90</v>
      </c>
      <c r="B2" s="2">
        <f>SUM(B6:B56)</f>
        <v>1053251923.6144542</v>
      </c>
      <c r="C2" s="31"/>
      <c r="D2" s="6">
        <f>SUM(D6:D56)/1000</f>
        <v>104.44</v>
      </c>
      <c r="F2" s="47">
        <f>B2/D2</f>
        <v>10084756.06677953</v>
      </c>
      <c r="G2" s="31">
        <f>SUM(G6:G56)</f>
        <v>130200000</v>
      </c>
      <c r="H2" s="41">
        <f t="shared" ref="H2:N2" si="0">SUM(H6:H56)</f>
        <v>277546574.86445427</v>
      </c>
      <c r="I2" s="41">
        <f t="shared" si="0"/>
        <v>111022528.75</v>
      </c>
      <c r="J2" s="41">
        <f t="shared" si="0"/>
        <v>245017750</v>
      </c>
      <c r="K2" s="41">
        <f t="shared" si="0"/>
        <v>72618720</v>
      </c>
      <c r="L2" s="41">
        <f t="shared" si="0"/>
        <v>91366750</v>
      </c>
      <c r="M2" s="41">
        <f t="shared" si="0"/>
        <v>121900000</v>
      </c>
      <c r="N2" s="41">
        <f t="shared" si="0"/>
        <v>3579600</v>
      </c>
    </row>
    <row r="3" spans="1:27" s="3" customFormat="1">
      <c r="A3" s="3" t="s">
        <v>92</v>
      </c>
      <c r="B3" s="3">
        <f>B2/$B2</f>
        <v>1</v>
      </c>
      <c r="D3" s="3">
        <f>D2/$B2</f>
        <v>9.9159562549472783E-8</v>
      </c>
      <c r="E3" s="3">
        <f>E2/$B2</f>
        <v>0</v>
      </c>
      <c r="F3" s="47"/>
      <c r="G3" s="3">
        <f t="shared" ref="G3:N3" si="1">G2/$B2</f>
        <v>0.1236171490228012</v>
      </c>
      <c r="H3" s="3">
        <f t="shared" si="1"/>
        <v>0.26351395012125417</v>
      </c>
      <c r="I3" s="3">
        <f t="shared" si="1"/>
        <v>0.10540928173100599</v>
      </c>
      <c r="J3" s="3">
        <f t="shared" si="1"/>
        <v>0.23262976739617086</v>
      </c>
      <c r="K3" s="3">
        <f t="shared" si="1"/>
        <v>6.8947151552112701E-2</v>
      </c>
      <c r="L3" s="3">
        <f t="shared" si="1"/>
        <v>8.6747289942235184E-2</v>
      </c>
      <c r="M3" s="3">
        <f t="shared" si="1"/>
        <v>0.11573679313271479</v>
      </c>
      <c r="N3" s="3">
        <f t="shared" si="1"/>
        <v>3.3986171017052163E-3</v>
      </c>
    </row>
    <row r="5" spans="1:27" s="36" customFormat="1">
      <c r="A5" s="36" t="s">
        <v>167</v>
      </c>
      <c r="B5" s="37"/>
      <c r="C5" s="37"/>
      <c r="E5" s="38"/>
      <c r="F5" s="47"/>
      <c r="G5" s="38"/>
      <c r="H5" s="45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7" s="3" customFormat="1">
      <c r="A6" s="6">
        <v>1</v>
      </c>
      <c r="B6" s="8">
        <f>SUM(G6:N6)</f>
        <v>201557199.51450291</v>
      </c>
      <c r="C6" s="31" t="s">
        <v>353</v>
      </c>
      <c r="D6" s="6">
        <v>2180</v>
      </c>
      <c r="E6">
        <f>D6</f>
        <v>2180</v>
      </c>
      <c r="F6" s="47">
        <f t="shared" ref="F6:F14" si="2">B6/D6*1000</f>
        <v>92457430.969955459</v>
      </c>
      <c r="G6" s="6">
        <v>0</v>
      </c>
      <c r="H6" s="46">
        <f>Bridges!H17</f>
        <v>82615339.514502913</v>
      </c>
      <c r="I6" s="6">
        <v>0</v>
      </c>
      <c r="J6" s="6">
        <f>Track!H12</f>
        <v>9139000</v>
      </c>
      <c r="K6" s="6">
        <f>'Signalling and Control'!E16</f>
        <v>8276860</v>
      </c>
      <c r="L6" s="6">
        <f>'Civil Works'!F29+'Civil Works'!F30</f>
        <v>1526000</v>
      </c>
      <c r="M6" s="6">
        <f>Stations!G15</f>
        <v>100000000</v>
      </c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3" customFormat="1">
      <c r="A7" s="6">
        <v>2</v>
      </c>
      <c r="B7" s="8">
        <f>SUM(G7:N7)</f>
        <v>12370840</v>
      </c>
      <c r="C7" s="31" t="s">
        <v>354</v>
      </c>
      <c r="D7" s="6">
        <v>920</v>
      </c>
      <c r="E7">
        <f t="shared" ref="E7:E14" si="3">D7+E6</f>
        <v>3100</v>
      </c>
      <c r="F7" s="47">
        <f t="shared" si="2"/>
        <v>13446565.217391305</v>
      </c>
      <c r="G7" s="6">
        <v>0</v>
      </c>
      <c r="H7" s="46">
        <v>0</v>
      </c>
      <c r="I7" s="6">
        <v>0</v>
      </c>
      <c r="J7" s="6">
        <f>Track!H13</f>
        <v>2070000</v>
      </c>
      <c r="K7" s="6">
        <f>'Signalling and Control'!E17</f>
        <v>116840</v>
      </c>
      <c r="L7" s="6">
        <f>184000+5000000+5000000</f>
        <v>10184000</v>
      </c>
      <c r="M7" s="6">
        <v>0</v>
      </c>
      <c r="N7" s="6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3" customFormat="1">
      <c r="A8" s="6">
        <v>3</v>
      </c>
      <c r="B8" s="31">
        <f t="shared" ref="B8:B14" si="4">SUM(G8:N8)</f>
        <v>59789293.507706843</v>
      </c>
      <c r="C8" s="31" t="s">
        <v>355</v>
      </c>
      <c r="D8" s="6">
        <v>1380</v>
      </c>
      <c r="E8">
        <f t="shared" si="3"/>
        <v>4480</v>
      </c>
      <c r="F8" s="47">
        <f t="shared" si="2"/>
        <v>43325575.005584665</v>
      </c>
      <c r="G8" s="6">
        <v>0</v>
      </c>
      <c r="H8" s="46">
        <f>Bridges!H18+Bridges!H19</f>
        <v>56509033.507706843</v>
      </c>
      <c r="I8" s="6">
        <v>0</v>
      </c>
      <c r="J8" s="6">
        <f>Track!H14</f>
        <v>3105000</v>
      </c>
      <c r="K8" s="6">
        <f>'Signalling and Control'!E18</f>
        <v>175260</v>
      </c>
      <c r="L8" s="6">
        <v>0</v>
      </c>
      <c r="M8" s="6">
        <v>0</v>
      </c>
      <c r="N8" s="6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3" customFormat="1">
      <c r="A9" s="6">
        <v>4</v>
      </c>
      <c r="B9" s="31">
        <f t="shared" si="4"/>
        <v>19297090</v>
      </c>
      <c r="C9" s="31" t="s">
        <v>356</v>
      </c>
      <c r="D9" s="6">
        <v>5420</v>
      </c>
      <c r="E9">
        <f t="shared" si="3"/>
        <v>9900</v>
      </c>
      <c r="F9" s="47">
        <f t="shared" si="2"/>
        <v>3560348.7084870851</v>
      </c>
      <c r="G9" s="6">
        <v>0</v>
      </c>
      <c r="H9" s="46">
        <v>0</v>
      </c>
      <c r="I9" s="6">
        <f>Earthworks!J9</f>
        <v>382500</v>
      </c>
      <c r="J9" s="6">
        <f>Track!H15+Track!H16</f>
        <v>13856250</v>
      </c>
      <c r="K9" s="6">
        <f>'Signalling and Control'!E19</f>
        <v>4688340</v>
      </c>
      <c r="L9" s="6">
        <f>'Civil Works'!F31</f>
        <v>370000</v>
      </c>
      <c r="M9" s="6">
        <v>0</v>
      </c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3" customFormat="1">
      <c r="A10" s="6">
        <v>5</v>
      </c>
      <c r="B10" s="31">
        <f t="shared" si="4"/>
        <v>11221440</v>
      </c>
      <c r="C10" s="31" t="s">
        <v>357</v>
      </c>
      <c r="D10" s="6">
        <v>1370</v>
      </c>
      <c r="E10">
        <f t="shared" si="3"/>
        <v>11270</v>
      </c>
      <c r="F10" s="47">
        <f t="shared" si="2"/>
        <v>8190832.1167883212</v>
      </c>
      <c r="G10" s="6">
        <v>0</v>
      </c>
      <c r="H10" s="46">
        <v>0</v>
      </c>
      <c r="I10" s="6">
        <f>Earthworks!J10</f>
        <v>403200</v>
      </c>
      <c r="J10" s="6">
        <f>Track!H17</f>
        <v>3082500</v>
      </c>
      <c r="K10" s="6">
        <f>'Signalling and Control'!E20</f>
        <v>173990</v>
      </c>
      <c r="L10" s="6">
        <f>'Civil Works'!F32+'Civil Works'!F33+'Civil Works'!F34+'Civil Works'!F35</f>
        <v>7561750</v>
      </c>
      <c r="M10" s="6">
        <v>0</v>
      </c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3" customFormat="1">
      <c r="A11" s="6">
        <v>6</v>
      </c>
      <c r="B11" s="31">
        <f t="shared" si="4"/>
        <v>1185420</v>
      </c>
      <c r="C11" s="31" t="s">
        <v>214</v>
      </c>
      <c r="D11" s="6">
        <v>460</v>
      </c>
      <c r="E11">
        <f t="shared" si="3"/>
        <v>11730</v>
      </c>
      <c r="F11" s="47">
        <f t="shared" si="2"/>
        <v>2577000</v>
      </c>
      <c r="G11" s="6">
        <v>0</v>
      </c>
      <c r="H11" s="46">
        <v>0</v>
      </c>
      <c r="I11" s="6">
        <v>0</v>
      </c>
      <c r="J11" s="6">
        <f>Track!H18</f>
        <v>1035000</v>
      </c>
      <c r="K11" s="6">
        <f>'Signalling and Control'!E21</f>
        <v>58420</v>
      </c>
      <c r="L11" s="6">
        <f>'Civil Works'!F36</f>
        <v>92000</v>
      </c>
      <c r="M11" s="6">
        <v>0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3" customFormat="1">
      <c r="A12" s="6">
        <v>7</v>
      </c>
      <c r="B12" s="31">
        <f t="shared" si="4"/>
        <v>15624222.314055473</v>
      </c>
      <c r="C12" s="31" t="s">
        <v>304</v>
      </c>
      <c r="D12" s="6">
        <v>800</v>
      </c>
      <c r="E12">
        <f t="shared" si="3"/>
        <v>12530</v>
      </c>
      <c r="F12" s="47">
        <f t="shared" si="2"/>
        <v>19530277.892569341</v>
      </c>
      <c r="G12" s="6">
        <v>0</v>
      </c>
      <c r="H12" s="46">
        <f>Bridges!H20</f>
        <v>12127022.314055473</v>
      </c>
      <c r="I12" s="6">
        <f>Earthworks!J11</f>
        <v>249600</v>
      </c>
      <c r="J12" s="6">
        <f>Track!H19</f>
        <v>1800000</v>
      </c>
      <c r="K12" s="6">
        <f>'Signalling and Control'!E22</f>
        <v>101600</v>
      </c>
      <c r="L12" s="6">
        <f>'Civil Works'!F37+'Civil Works'!F38</f>
        <v>1346000</v>
      </c>
      <c r="M12" s="6">
        <v>0</v>
      </c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3" customFormat="1">
      <c r="A13" s="6">
        <v>8</v>
      </c>
      <c r="B13" s="31">
        <f t="shared" si="4"/>
        <v>9061880</v>
      </c>
      <c r="C13" s="31" t="s">
        <v>283</v>
      </c>
      <c r="D13" s="6">
        <v>1760</v>
      </c>
      <c r="E13">
        <f t="shared" si="3"/>
        <v>14290</v>
      </c>
      <c r="F13" s="47">
        <f t="shared" si="2"/>
        <v>5148795.4545454551</v>
      </c>
      <c r="G13" s="6">
        <v>0</v>
      </c>
      <c r="H13" s="46">
        <v>0</v>
      </c>
      <c r="I13" s="6">
        <f>SUM(Earthworks!J12:J17)</f>
        <v>3276360</v>
      </c>
      <c r="J13" s="6">
        <f>Track!H20</f>
        <v>3960000</v>
      </c>
      <c r="K13" s="6">
        <f>'Signalling and Control'!E23</f>
        <v>223520</v>
      </c>
      <c r="L13" s="6">
        <f>'Civil Works'!F39+'Civil Works'!F40</f>
        <v>1602000</v>
      </c>
      <c r="M13" s="6">
        <v>0</v>
      </c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>
      <c r="A14" s="6">
        <v>9</v>
      </c>
      <c r="B14" s="31">
        <f t="shared" si="4"/>
        <v>16479642.985541604</v>
      </c>
      <c r="C14" s="31" t="s">
        <v>150</v>
      </c>
      <c r="D14" s="6">
        <v>600</v>
      </c>
      <c r="E14">
        <f t="shared" si="3"/>
        <v>14890</v>
      </c>
      <c r="F14" s="47">
        <f t="shared" si="2"/>
        <v>27466071.642569341</v>
      </c>
      <c r="G14" s="6">
        <v>0</v>
      </c>
      <c r="H14" s="46">
        <f>Bridges!H21</f>
        <v>9095266.7355416045</v>
      </c>
      <c r="I14">
        <f>Earthworks!J18+Earthworks!J19</f>
        <v>412406.25</v>
      </c>
      <c r="J14">
        <f>Track!H21</f>
        <v>2772500</v>
      </c>
      <c r="K14">
        <f>'Signalling and Control'!E24</f>
        <v>4077470</v>
      </c>
      <c r="L14">
        <f>'Civil Works'!F41</f>
        <v>122000</v>
      </c>
      <c r="M14" s="6">
        <v>0</v>
      </c>
      <c r="N14" s="6">
        <v>0</v>
      </c>
    </row>
    <row r="15" spans="1:27">
      <c r="A15" t="s">
        <v>151</v>
      </c>
      <c r="B15" s="31"/>
    </row>
    <row r="16" spans="1:27">
      <c r="A16">
        <v>1</v>
      </c>
      <c r="B16" s="1">
        <f>SUM(G16:N16)</f>
        <v>1916200</v>
      </c>
      <c r="C16" s="31" t="s">
        <v>168</v>
      </c>
      <c r="D16">
        <v>600</v>
      </c>
      <c r="E16">
        <f>D16</f>
        <v>600</v>
      </c>
      <c r="F16" s="47">
        <f>B16/D16*1000</f>
        <v>3193666.6666666665</v>
      </c>
      <c r="G16">
        <v>0</v>
      </c>
      <c r="H16" s="46">
        <v>0</v>
      </c>
      <c r="I16">
        <f>SUM(Earthworks!J20:J22)</f>
        <v>310000</v>
      </c>
      <c r="J16">
        <f>Track!H22</f>
        <v>1350000</v>
      </c>
      <c r="K16">
        <f>'Signalling and Control'!E25</f>
        <v>76200</v>
      </c>
      <c r="L16">
        <f>SUM('Civil Works'!F42:F43)</f>
        <v>180000</v>
      </c>
      <c r="M16">
        <v>0</v>
      </c>
      <c r="N16">
        <v>0</v>
      </c>
    </row>
    <row r="17" spans="1:25">
      <c r="A17">
        <v>2</v>
      </c>
      <c r="B17" s="1">
        <f t="shared" ref="B17:B56" si="5">SUM(G17:N17)</f>
        <v>25338136.867177494</v>
      </c>
      <c r="C17" s="31" t="s">
        <v>242</v>
      </c>
      <c r="D17">
        <v>440</v>
      </c>
      <c r="E17">
        <f>E16+D17</f>
        <v>1040</v>
      </c>
      <c r="F17" s="47">
        <f t="shared" ref="F17:F38" si="6">B17/D17*1000</f>
        <v>57586674.698130675</v>
      </c>
      <c r="G17">
        <v>0</v>
      </c>
      <c r="H17" s="46">
        <f>SUM(Bridges!H22:H23)</f>
        <v>24292256.867177494</v>
      </c>
      <c r="I17">
        <v>0</v>
      </c>
      <c r="J17">
        <f>Track!H23</f>
        <v>990000</v>
      </c>
      <c r="K17">
        <f>'Signalling and Control'!E26</f>
        <v>55880</v>
      </c>
      <c r="L17">
        <v>0</v>
      </c>
      <c r="M17">
        <v>0</v>
      </c>
      <c r="N17">
        <v>0</v>
      </c>
    </row>
    <row r="18" spans="1:25">
      <c r="A18">
        <v>3</v>
      </c>
      <c r="B18" s="1">
        <f t="shared" si="5"/>
        <v>16543368.694836311</v>
      </c>
      <c r="C18" s="31" t="s">
        <v>289</v>
      </c>
      <c r="D18">
        <v>460</v>
      </c>
      <c r="E18">
        <f t="shared" ref="E18:E38" si="7">E17+D18</f>
        <v>1500</v>
      </c>
      <c r="F18" s="47">
        <f t="shared" si="6"/>
        <v>35963844.98877459</v>
      </c>
      <c r="G18">
        <v>0</v>
      </c>
      <c r="H18" s="46">
        <f>SUM(Bridges!H24:H25)</f>
        <v>15407948.694836311</v>
      </c>
      <c r="I18">
        <v>0</v>
      </c>
      <c r="J18">
        <f>Track!H24</f>
        <v>1035000</v>
      </c>
      <c r="K18">
        <f>'Signalling and Control'!E27</f>
        <v>58420</v>
      </c>
      <c r="L18">
        <f>SUM('Civil Works'!F44:F45)</f>
        <v>42000</v>
      </c>
      <c r="M18">
        <v>0</v>
      </c>
      <c r="N18">
        <v>0</v>
      </c>
    </row>
    <row r="19" spans="1:25">
      <c r="A19">
        <v>4</v>
      </c>
      <c r="B19" s="1">
        <f t="shared" si="5"/>
        <v>42515050</v>
      </c>
      <c r="C19" s="31" t="s">
        <v>54</v>
      </c>
      <c r="D19">
        <v>750</v>
      </c>
      <c r="E19">
        <f t="shared" si="7"/>
        <v>2250</v>
      </c>
      <c r="F19" s="47">
        <f t="shared" si="6"/>
        <v>56686733.333333328</v>
      </c>
      <c r="G19">
        <f>Tunnels!G13</f>
        <v>40300000</v>
      </c>
      <c r="H19" s="46">
        <v>0</v>
      </c>
      <c r="I19">
        <f>Earthworks!J23</f>
        <v>412300</v>
      </c>
      <c r="J19">
        <f>Track!H25</f>
        <v>1687500</v>
      </c>
      <c r="K19">
        <f>'Signalling and Control'!E28</f>
        <v>95250</v>
      </c>
      <c r="L19">
        <f>'Civil Works'!F46</f>
        <v>20000</v>
      </c>
      <c r="M19">
        <v>0</v>
      </c>
      <c r="N19">
        <v>0</v>
      </c>
    </row>
    <row r="20" spans="1:25">
      <c r="A20">
        <v>5</v>
      </c>
      <c r="B20" s="1">
        <f t="shared" si="5"/>
        <v>2757200</v>
      </c>
      <c r="C20" s="31" t="s">
        <v>372</v>
      </c>
      <c r="D20">
        <v>600</v>
      </c>
      <c r="E20">
        <f t="shared" si="7"/>
        <v>2850</v>
      </c>
      <c r="F20" s="47">
        <f t="shared" si="6"/>
        <v>4595333.333333333</v>
      </c>
      <c r="G20">
        <v>0</v>
      </c>
      <c r="H20" s="46">
        <v>0</v>
      </c>
      <c r="I20">
        <f>SUM(Earthworks!J24:J25)</f>
        <v>1151000</v>
      </c>
      <c r="J20">
        <f>Track!H26</f>
        <v>1350000</v>
      </c>
      <c r="K20">
        <f>'Signalling and Control'!E29</f>
        <v>76200</v>
      </c>
      <c r="L20">
        <f>'Civil Works'!F47+'Civil Works'!F48</f>
        <v>180000</v>
      </c>
      <c r="M20">
        <v>0</v>
      </c>
      <c r="N20">
        <v>0</v>
      </c>
    </row>
    <row r="21" spans="1:25">
      <c r="A21">
        <v>6</v>
      </c>
      <c r="B21" s="1">
        <f t="shared" si="5"/>
        <v>10103719.818528637</v>
      </c>
      <c r="C21" s="31" t="s">
        <v>222</v>
      </c>
      <c r="D21">
        <v>230</v>
      </c>
      <c r="E21">
        <f t="shared" si="7"/>
        <v>3080</v>
      </c>
      <c r="F21" s="47">
        <f t="shared" si="6"/>
        <v>43929216.602298424</v>
      </c>
      <c r="G21">
        <v>0</v>
      </c>
      <c r="H21" s="46">
        <f>SUM(Bridges!H26:H27)</f>
        <v>9557009.8185286373</v>
      </c>
      <c r="I21">
        <v>0</v>
      </c>
      <c r="J21">
        <f>Track!H27</f>
        <v>517500</v>
      </c>
      <c r="K21">
        <f>'Signalling and Control'!E30</f>
        <v>29210</v>
      </c>
      <c r="L21">
        <v>0</v>
      </c>
      <c r="M21">
        <v>0</v>
      </c>
      <c r="N21">
        <v>0</v>
      </c>
    </row>
    <row r="22" spans="1:25">
      <c r="A22">
        <v>7</v>
      </c>
      <c r="B22" s="1">
        <f t="shared" si="5"/>
        <v>20264062.5</v>
      </c>
      <c r="C22" s="31" t="s">
        <v>226</v>
      </c>
      <c r="D22">
        <v>1750</v>
      </c>
      <c r="E22">
        <f t="shared" si="7"/>
        <v>4830</v>
      </c>
      <c r="F22" s="47">
        <f t="shared" si="6"/>
        <v>11579464.285714285</v>
      </c>
      <c r="G22">
        <v>0</v>
      </c>
      <c r="H22" s="46">
        <v>0</v>
      </c>
      <c r="I22">
        <f>SUM(Earthworks!J26:J27)</f>
        <v>15579312.5</v>
      </c>
      <c r="J22">
        <f>Track!H28</f>
        <v>3937500</v>
      </c>
      <c r="K22">
        <f>'Signalling and Control'!E31</f>
        <v>222250</v>
      </c>
      <c r="L22">
        <f>SUM('Civil Works'!F49:F50)</f>
        <v>525000</v>
      </c>
      <c r="M22">
        <v>0</v>
      </c>
      <c r="N22">
        <v>0</v>
      </c>
    </row>
    <row r="23" spans="1:25">
      <c r="A23">
        <v>8</v>
      </c>
      <c r="B23" s="1">
        <f t="shared" si="5"/>
        <v>5327130</v>
      </c>
      <c r="C23" s="31" t="s">
        <v>230</v>
      </c>
      <c r="D23">
        <v>1290</v>
      </c>
      <c r="E23">
        <f t="shared" si="7"/>
        <v>6120</v>
      </c>
      <c r="F23" s="47">
        <f t="shared" si="6"/>
        <v>4129558.1395348837</v>
      </c>
      <c r="G23">
        <v>0</v>
      </c>
      <c r="H23" s="46">
        <v>0</v>
      </c>
      <c r="I23">
        <f>SUM(Earthworks!J28:J29)</f>
        <v>2008800</v>
      </c>
      <c r="J23">
        <f>Track!H29+Track!H30</f>
        <v>2767500</v>
      </c>
      <c r="K23">
        <f>'Signalling and Control'!E32</f>
        <v>163830</v>
      </c>
      <c r="L23">
        <f>SUM('Civil Works'!F51:F52)</f>
        <v>387000</v>
      </c>
      <c r="M23">
        <v>0</v>
      </c>
      <c r="N23">
        <v>0</v>
      </c>
    </row>
    <row r="24" spans="1:25">
      <c r="A24" t="s">
        <v>152</v>
      </c>
    </row>
    <row r="25" spans="1:25">
      <c r="A25">
        <v>1</v>
      </c>
      <c r="B25" s="1">
        <f t="shared" si="5"/>
        <v>8775647.9473463707</v>
      </c>
      <c r="C25" s="31" t="s">
        <v>204</v>
      </c>
      <c r="D25">
        <v>430</v>
      </c>
      <c r="E25">
        <f t="shared" si="7"/>
        <v>430</v>
      </c>
      <c r="F25" s="47">
        <f t="shared" si="6"/>
        <v>20408483.59847993</v>
      </c>
      <c r="G25">
        <v>0</v>
      </c>
      <c r="H25" s="46">
        <f>Bridges!H28+Bridges!H29</f>
        <v>5101587.9473463716</v>
      </c>
      <c r="I25">
        <f>Earthworks!J30</f>
        <v>223200</v>
      </c>
      <c r="J25">
        <f>Track!H31</f>
        <v>806250</v>
      </c>
      <c r="K25">
        <f>'Signalling and Control'!E33</f>
        <v>54610</v>
      </c>
      <c r="L25">
        <f>'Civil Works'!F53+'Civil Works'!F54+'Civil Works'!F55</f>
        <v>2590000</v>
      </c>
      <c r="M25">
        <v>0</v>
      </c>
      <c r="N25">
        <v>0</v>
      </c>
    </row>
    <row r="26" spans="1:25">
      <c r="A26">
        <v>2</v>
      </c>
      <c r="B26" s="1">
        <f t="shared" si="5"/>
        <v>3762800</v>
      </c>
      <c r="C26" s="31" t="s">
        <v>254</v>
      </c>
      <c r="D26">
        <v>1400</v>
      </c>
      <c r="E26">
        <f t="shared" si="7"/>
        <v>1830</v>
      </c>
      <c r="F26" s="47">
        <f t="shared" si="6"/>
        <v>2687714.2857142859</v>
      </c>
      <c r="G26">
        <v>0</v>
      </c>
      <c r="H26" s="46">
        <v>0</v>
      </c>
      <c r="I26">
        <f>Earthworks!J31+Earthworks!J32</f>
        <v>540000</v>
      </c>
      <c r="J26">
        <f>Track!H32</f>
        <v>2625000</v>
      </c>
      <c r="K26">
        <f>'Signalling and Control'!E34</f>
        <v>177800</v>
      </c>
      <c r="L26">
        <f>'Civil Works'!F56+'Civil Works'!F57</f>
        <v>420000</v>
      </c>
      <c r="M26">
        <v>0</v>
      </c>
      <c r="N26">
        <v>0</v>
      </c>
    </row>
    <row r="27" spans="1:25">
      <c r="A27">
        <v>3</v>
      </c>
      <c r="B27" s="1">
        <f t="shared" si="5"/>
        <v>87477510</v>
      </c>
      <c r="C27" s="31" t="s">
        <v>55</v>
      </c>
      <c r="D27">
        <v>2830</v>
      </c>
      <c r="E27">
        <f t="shared" si="7"/>
        <v>4660</v>
      </c>
      <c r="F27" s="47">
        <f t="shared" si="6"/>
        <v>30910780.918727916</v>
      </c>
      <c r="G27">
        <f>Tunnels!G14</f>
        <v>71300000</v>
      </c>
      <c r="H27" s="46">
        <v>0</v>
      </c>
      <c r="I27">
        <f>Earthworks!J33+Earthworks!J34+Earthworks!J35</f>
        <v>8946600</v>
      </c>
      <c r="J27">
        <f>Track!H33</f>
        <v>6367500</v>
      </c>
      <c r="K27">
        <f>'Signalling and Control'!E35</f>
        <v>359410</v>
      </c>
      <c r="L27">
        <f>'Civil Works'!F58+'Civil Works'!F59</f>
        <v>504000</v>
      </c>
      <c r="M27">
        <v>0</v>
      </c>
      <c r="N27">
        <v>0</v>
      </c>
    </row>
    <row r="28" spans="1:25">
      <c r="A28">
        <v>4</v>
      </c>
      <c r="B28" s="1">
        <f t="shared" si="5"/>
        <v>7858250</v>
      </c>
      <c r="C28" s="31" t="s">
        <v>126</v>
      </c>
      <c r="D28">
        <v>1690</v>
      </c>
      <c r="E28">
        <f t="shared" si="7"/>
        <v>6350</v>
      </c>
      <c r="F28" s="47">
        <f t="shared" si="6"/>
        <v>4649852.0710059172</v>
      </c>
      <c r="G28">
        <v>0</v>
      </c>
      <c r="H28" s="46">
        <v>0</v>
      </c>
      <c r="I28">
        <f>Earthworks!J36+Earthworks!J37+Earthworks!J38</f>
        <v>2334120</v>
      </c>
      <c r="J28">
        <f>Track!H34</f>
        <v>3802500</v>
      </c>
      <c r="K28">
        <f>'Signalling and Control'!E36</f>
        <v>214630</v>
      </c>
      <c r="L28">
        <f>'Civil Works'!F60+'Civil Works'!F61+'Civil Works'!F62</f>
        <v>1507000</v>
      </c>
      <c r="M28">
        <v>0</v>
      </c>
      <c r="N28">
        <v>0</v>
      </c>
    </row>
    <row r="29" spans="1:25">
      <c r="A29" t="s">
        <v>375</v>
      </c>
      <c r="D29" s="6"/>
      <c r="E29" s="6"/>
      <c r="G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5">
      <c r="A30">
        <v>1</v>
      </c>
      <c r="B30" s="1">
        <f t="shared" si="5"/>
        <v>6022320</v>
      </c>
      <c r="C30" s="31" t="s">
        <v>57</v>
      </c>
      <c r="D30" s="6">
        <v>1160</v>
      </c>
      <c r="E30" s="6">
        <f t="shared" si="7"/>
        <v>1160</v>
      </c>
      <c r="F30" s="47">
        <f t="shared" si="6"/>
        <v>5191655.1724137934</v>
      </c>
      <c r="G30" s="6">
        <v>0</v>
      </c>
      <c r="H30" s="46">
        <v>0</v>
      </c>
      <c r="I30" s="6">
        <f>SUM(Earthworks!J39:J40)</f>
        <v>2917000</v>
      </c>
      <c r="J30" s="6">
        <f>Track!H35</f>
        <v>2610000</v>
      </c>
      <c r="K30" s="6">
        <f>'Signalling and Control'!E37</f>
        <v>147320</v>
      </c>
      <c r="L30" s="6">
        <f>'Civil Works'!F63+'Civil Works'!F64</f>
        <v>348000</v>
      </c>
      <c r="M30" s="6">
        <v>0</v>
      </c>
      <c r="N30" s="6">
        <v>0</v>
      </c>
      <c r="O30" s="6"/>
      <c r="P30" s="6"/>
      <c r="Q30" s="6"/>
      <c r="R30" s="6"/>
      <c r="S30" s="6"/>
      <c r="T30" s="5"/>
      <c r="U30" s="5"/>
      <c r="V30" s="5"/>
      <c r="W30" s="5"/>
      <c r="X30" s="5"/>
      <c r="Y30" s="5"/>
    </row>
    <row r="31" spans="1:25">
      <c r="A31">
        <v>2</v>
      </c>
      <c r="B31" s="1">
        <f t="shared" si="5"/>
        <v>21618700</v>
      </c>
      <c r="C31" s="31" t="s">
        <v>56</v>
      </c>
      <c r="D31" s="6">
        <v>650</v>
      </c>
      <c r="E31" s="6">
        <f t="shared" si="7"/>
        <v>1810</v>
      </c>
      <c r="F31" s="47">
        <f t="shared" si="6"/>
        <v>33259538.46153846</v>
      </c>
      <c r="G31" s="6">
        <f>Tunnels!G15</f>
        <v>18600000</v>
      </c>
      <c r="H31" s="46">
        <v>0</v>
      </c>
      <c r="I31" s="6">
        <f>SUM(Earthworks!J41:J42)</f>
        <v>1368650</v>
      </c>
      <c r="J31" s="6">
        <f>Track!H36</f>
        <v>1462500</v>
      </c>
      <c r="K31" s="6">
        <f>'Signalling and Control'!E38</f>
        <v>82550</v>
      </c>
      <c r="L31" s="6">
        <f>'Civil Works'!F65+'Civil Works'!F66</f>
        <v>105000</v>
      </c>
      <c r="M31" s="6">
        <v>0</v>
      </c>
      <c r="N31" s="6">
        <v>0</v>
      </c>
      <c r="O31" s="6"/>
      <c r="P31" s="6"/>
      <c r="Q31" s="6"/>
      <c r="R31" s="6"/>
      <c r="S31" s="6"/>
    </row>
    <row r="32" spans="1:25">
      <c r="A32">
        <v>3</v>
      </c>
      <c r="B32" s="1">
        <f t="shared" si="5"/>
        <v>24057690</v>
      </c>
      <c r="C32" s="31" t="s">
        <v>68</v>
      </c>
      <c r="D32" s="6">
        <v>1950</v>
      </c>
      <c r="E32" s="6">
        <f t="shared" si="7"/>
        <v>3760</v>
      </c>
      <c r="F32" s="47">
        <f t="shared" si="6"/>
        <v>12337276.923076922</v>
      </c>
      <c r="G32" s="6">
        <v>0</v>
      </c>
      <c r="H32" s="46">
        <v>0</v>
      </c>
      <c r="I32" s="6">
        <f>SUM(Earthworks!J43:J46)</f>
        <v>14675040</v>
      </c>
      <c r="J32" s="6">
        <f>Track!H37</f>
        <v>4387500</v>
      </c>
      <c r="K32" s="6">
        <f>'Signalling and Control'!E39</f>
        <v>4247650</v>
      </c>
      <c r="L32" s="6">
        <f>'Civil Works'!F67+'Civil Works'!F68</f>
        <v>585000</v>
      </c>
      <c r="M32" s="6">
        <v>0</v>
      </c>
      <c r="N32" s="6">
        <f>Land!H18</f>
        <v>162500</v>
      </c>
      <c r="O32" s="6"/>
      <c r="P32" s="6"/>
      <c r="Q32" s="6"/>
      <c r="R32" s="6"/>
      <c r="S32" s="6"/>
    </row>
    <row r="33" spans="1:34" s="7" customFormat="1">
      <c r="A33">
        <v>4</v>
      </c>
      <c r="B33" s="1">
        <f t="shared" si="5"/>
        <v>34675650</v>
      </c>
      <c r="C33" s="31" t="s">
        <v>14</v>
      </c>
      <c r="D33" s="6">
        <v>7040</v>
      </c>
      <c r="E33" s="6">
        <f t="shared" si="7"/>
        <v>10800</v>
      </c>
      <c r="F33" s="47">
        <f t="shared" si="6"/>
        <v>4925518.4659090908</v>
      </c>
      <c r="G33" s="6">
        <v>0</v>
      </c>
      <c r="H33" s="46">
        <f>Bridges!H30</f>
        <v>500000</v>
      </c>
      <c r="I33" s="6">
        <f>Earthworks!J47+Earthworks!J48</f>
        <v>1152000</v>
      </c>
      <c r="J33" s="6">
        <f>Track!H38</f>
        <v>17240000</v>
      </c>
      <c r="K33" s="6">
        <f>'Signalling and Control'!E39</f>
        <v>4247650</v>
      </c>
      <c r="L33" s="6">
        <f>SUM('Civil Works'!F69:F73)</f>
        <v>9836000</v>
      </c>
      <c r="M33" s="6">
        <f>Stations!G16</f>
        <v>1700000</v>
      </c>
      <c r="N33" s="6">
        <v>0</v>
      </c>
      <c r="O33" s="6"/>
      <c r="P33" s="6"/>
      <c r="Q33" s="6"/>
      <c r="R33" s="6"/>
      <c r="S33" s="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>
      <c r="A34" s="42" t="s">
        <v>374</v>
      </c>
      <c r="B34" s="41"/>
      <c r="C34" s="7"/>
      <c r="D34" s="7"/>
      <c r="E34" s="6"/>
      <c r="G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>
      <c r="A35">
        <v>1</v>
      </c>
      <c r="B35" s="41">
        <f t="shared" si="5"/>
        <v>14241412.804753795</v>
      </c>
      <c r="C35" s="41" t="s">
        <v>376</v>
      </c>
      <c r="D35" s="6">
        <v>800</v>
      </c>
      <c r="E35" s="6">
        <f t="shared" si="7"/>
        <v>800</v>
      </c>
      <c r="F35" s="47">
        <f t="shared" si="6"/>
        <v>17801766.005942244</v>
      </c>
      <c r="G35">
        <v>0</v>
      </c>
      <c r="H35" s="46">
        <f>Bridges!H31</f>
        <v>3562312.8047537953</v>
      </c>
      <c r="I35">
        <f>Earthworks!J49</f>
        <v>210000</v>
      </c>
      <c r="J35">
        <f>Track!H39+Track!H40</f>
        <v>4000000</v>
      </c>
      <c r="K35">
        <f>'Signalling and Control'!E40</f>
        <v>4101600</v>
      </c>
      <c r="L35">
        <f>'Civil Works'!F74+'Civil Works'!F75</f>
        <v>320000</v>
      </c>
      <c r="M35">
        <v>0</v>
      </c>
      <c r="N35">
        <f>Land!H19</f>
        <v>2047500</v>
      </c>
    </row>
    <row r="36" spans="1:34">
      <c r="A36">
        <v>2</v>
      </c>
      <c r="B36" s="41">
        <f t="shared" si="5"/>
        <v>26935720.573064625</v>
      </c>
      <c r="C36" s="41" t="s">
        <v>377</v>
      </c>
      <c r="D36" s="6">
        <v>7950</v>
      </c>
      <c r="E36" s="6">
        <f t="shared" si="7"/>
        <v>8750</v>
      </c>
      <c r="F36" s="47">
        <f t="shared" si="6"/>
        <v>3388140.9525867454</v>
      </c>
      <c r="G36">
        <v>0</v>
      </c>
      <c r="H36" s="46">
        <f>Bridges!H32+Bridges!H33</f>
        <v>2114120.5730646239</v>
      </c>
      <c r="I36">
        <f>SUM(Earthworks!J50:J54)</f>
        <v>4855700</v>
      </c>
      <c r="J36">
        <f>Track!H41+Track!H42</f>
        <v>15281250</v>
      </c>
      <c r="K36">
        <f>'Signalling and Control'!E41</f>
        <v>1009650</v>
      </c>
      <c r="L36">
        <f>'Civil Works'!F76+'Civil Works'!F77+'Civil Works'!F78</f>
        <v>3635000</v>
      </c>
      <c r="M36">
        <v>0</v>
      </c>
      <c r="N36">
        <f>Land!H20</f>
        <v>40000</v>
      </c>
    </row>
    <row r="37" spans="1:34">
      <c r="A37">
        <v>3</v>
      </c>
      <c r="B37" s="41">
        <f t="shared" si="5"/>
        <v>21356640</v>
      </c>
      <c r="C37" s="41" t="s">
        <v>378</v>
      </c>
      <c r="D37" s="6">
        <v>3520</v>
      </c>
      <c r="E37" s="6">
        <f t="shared" si="7"/>
        <v>12270</v>
      </c>
      <c r="F37" s="47">
        <f t="shared" si="6"/>
        <v>6067227.2727272734</v>
      </c>
      <c r="G37">
        <v>0</v>
      </c>
      <c r="H37" s="46">
        <v>0</v>
      </c>
      <c r="I37">
        <f>Earthworks!J55+Earthworks!J56</f>
        <v>11222400</v>
      </c>
      <c r="J37">
        <f>Track!H43</f>
        <v>7920000</v>
      </c>
      <c r="K37">
        <f>'Signalling and Control'!E42</f>
        <v>447040</v>
      </c>
      <c r="L37">
        <f>SUM('Civil Works'!F79:F81)</f>
        <v>1556000</v>
      </c>
      <c r="M37">
        <v>0</v>
      </c>
      <c r="N37">
        <f>Land!H21</f>
        <v>211200</v>
      </c>
    </row>
    <row r="38" spans="1:34">
      <c r="A38">
        <v>4</v>
      </c>
      <c r="B38" s="41">
        <f t="shared" si="5"/>
        <v>18045660</v>
      </c>
      <c r="C38" s="41" t="s">
        <v>428</v>
      </c>
      <c r="D38" s="6">
        <v>3180</v>
      </c>
      <c r="E38" s="6">
        <f t="shared" si="7"/>
        <v>15450</v>
      </c>
      <c r="F38" s="47">
        <f t="shared" si="6"/>
        <v>5674735.8490566043</v>
      </c>
      <c r="G38">
        <v>0</v>
      </c>
      <c r="H38" s="46">
        <v>0</v>
      </c>
      <c r="I38">
        <f>Earthworks!J57+Earthworks!J58+Earthworks!J59</f>
        <v>8212000</v>
      </c>
      <c r="J38">
        <f>Track!H44+Track!H45</f>
        <v>6405000</v>
      </c>
      <c r="K38">
        <f>'Signalling and Control'!E43</f>
        <v>403860</v>
      </c>
      <c r="L38">
        <f>SUM('Civil Works'!F82:F84)</f>
        <v>2954000</v>
      </c>
      <c r="M38">
        <v>0</v>
      </c>
      <c r="N38">
        <f>Land!H22</f>
        <v>70800</v>
      </c>
    </row>
    <row r="39" spans="1:34">
      <c r="A39" t="s">
        <v>429</v>
      </c>
      <c r="B39" s="41"/>
      <c r="E39" s="6"/>
    </row>
    <row r="40" spans="1:34">
      <c r="A40">
        <v>1</v>
      </c>
      <c r="B40" s="41">
        <f t="shared" si="5"/>
        <v>15649200</v>
      </c>
      <c r="C40" s="41" t="s">
        <v>539</v>
      </c>
      <c r="D40">
        <v>5600</v>
      </c>
      <c r="E40" s="6">
        <f>D40</f>
        <v>5600</v>
      </c>
      <c r="F40" s="47">
        <f t="shared" ref="F40:F56" si="8">B40/D40*1000</f>
        <v>2794500</v>
      </c>
      <c r="G40">
        <v>0</v>
      </c>
      <c r="H40" s="46">
        <v>0</v>
      </c>
      <c r="I40">
        <f>Earthworks!J60</f>
        <v>1008000</v>
      </c>
      <c r="J40">
        <f>Track!H46</f>
        <v>10500000</v>
      </c>
      <c r="K40">
        <f>'Signalling and Control'!E44</f>
        <v>711200</v>
      </c>
      <c r="L40">
        <f>SUM('Civil Works'!F85:F88)</f>
        <v>3430000</v>
      </c>
      <c r="M40">
        <v>0</v>
      </c>
      <c r="N40">
        <v>0</v>
      </c>
    </row>
    <row r="41" spans="1:34">
      <c r="A41">
        <v>2</v>
      </c>
      <c r="B41" s="41">
        <f t="shared" si="5"/>
        <v>20306601.40400479</v>
      </c>
      <c r="C41" s="41" t="s">
        <v>439</v>
      </c>
      <c r="D41">
        <v>1660</v>
      </c>
      <c r="E41" s="6">
        <f>D41+E40</f>
        <v>7260</v>
      </c>
      <c r="F41" s="47">
        <f t="shared" si="8"/>
        <v>12232892.412051078</v>
      </c>
      <c r="G41">
        <v>0</v>
      </c>
      <c r="H41" s="46">
        <f>Bridges!H34</f>
        <v>14116861.40400479</v>
      </c>
      <c r="I41">
        <f>Earthworks!J61</f>
        <v>555520</v>
      </c>
      <c r="J41">
        <f>Track!H47</f>
        <v>3735000</v>
      </c>
      <c r="K41">
        <f>'Signalling and Control'!E45</f>
        <v>210820</v>
      </c>
      <c r="L41">
        <f>SUM('Civil Works'!F89:F91)</f>
        <v>1622000</v>
      </c>
      <c r="M41">
        <v>0</v>
      </c>
      <c r="N41">
        <f>Land!H23</f>
        <v>66400</v>
      </c>
    </row>
    <row r="42" spans="1:34">
      <c r="A42">
        <v>3</v>
      </c>
      <c r="B42" s="41">
        <f t="shared" si="5"/>
        <v>6841640</v>
      </c>
      <c r="C42" s="41" t="s">
        <v>447</v>
      </c>
      <c r="D42">
        <v>2200</v>
      </c>
      <c r="E42" s="6">
        <f t="shared" ref="E42:E56" si="9">D42+E41</f>
        <v>9460</v>
      </c>
      <c r="F42" s="47">
        <f t="shared" si="8"/>
        <v>3109836.3636363638</v>
      </c>
      <c r="G42">
        <v>0</v>
      </c>
      <c r="H42" s="46">
        <v>0</v>
      </c>
      <c r="I42">
        <f>Earthworks!J62+Earthworks!J63</f>
        <v>1495040</v>
      </c>
      <c r="J42">
        <f>Track!H48+Track!H49</f>
        <v>4380000</v>
      </c>
      <c r="K42">
        <f>'Signalling and Control'!E46</f>
        <v>279400</v>
      </c>
      <c r="L42">
        <f>'Civil Works'!F92+'Civil Works'!F93</f>
        <v>660000</v>
      </c>
      <c r="M42">
        <v>0</v>
      </c>
      <c r="N42">
        <f>Land!H24</f>
        <v>27200.000000000004</v>
      </c>
    </row>
    <row r="43" spans="1:34">
      <c r="A43">
        <v>4</v>
      </c>
      <c r="B43" s="41">
        <f t="shared" si="5"/>
        <v>34602123.163926378</v>
      </c>
      <c r="C43" s="41" t="s">
        <v>513</v>
      </c>
      <c r="D43">
        <v>2300</v>
      </c>
      <c r="E43" s="6">
        <f t="shared" si="9"/>
        <v>11760</v>
      </c>
      <c r="F43" s="47">
        <f t="shared" si="8"/>
        <v>15044401.375620164</v>
      </c>
      <c r="G43">
        <v>0</v>
      </c>
      <c r="H43" s="46">
        <f>Bridges!H35+Bridges!H36+Bridges!H37</f>
        <v>20929623.163926378</v>
      </c>
      <c r="I43">
        <f>SUM(Earthworks!J64:J66)</f>
        <v>7585400</v>
      </c>
      <c r="J43">
        <f>Track!H50</f>
        <v>5175000</v>
      </c>
      <c r="K43">
        <f>'Signalling and Control'!E47</f>
        <v>292100</v>
      </c>
      <c r="L43">
        <f>'Civil Works'!F94+'Civil Works'!F95</f>
        <v>528000</v>
      </c>
      <c r="M43">
        <v>0</v>
      </c>
      <c r="N43">
        <f>Land!H25</f>
        <v>92000</v>
      </c>
    </row>
    <row r="44" spans="1:34">
      <c r="A44">
        <v>5</v>
      </c>
      <c r="B44" s="41">
        <f t="shared" si="5"/>
        <v>20595160</v>
      </c>
      <c r="C44" s="41" t="s">
        <v>520</v>
      </c>
      <c r="D44">
        <v>1580</v>
      </c>
      <c r="E44" s="6">
        <f t="shared" si="9"/>
        <v>13340</v>
      </c>
      <c r="F44" s="47">
        <f t="shared" si="8"/>
        <v>13034911.392405063</v>
      </c>
      <c r="G44">
        <v>0</v>
      </c>
      <c r="H44" s="46">
        <v>0</v>
      </c>
      <c r="I44">
        <v>0</v>
      </c>
      <c r="J44">
        <f>Track!H51</f>
        <v>5062500</v>
      </c>
      <c r="K44">
        <f>'Signalling and Control'!E48</f>
        <v>8200660</v>
      </c>
      <c r="L44">
        <f>'Civil Works'!F96+'Civil Works'!F97+'Civil Works'!F98</f>
        <v>5632000</v>
      </c>
      <c r="M44">
        <f>Stations!G17</f>
        <v>1700000</v>
      </c>
      <c r="N44">
        <v>0</v>
      </c>
    </row>
    <row r="45" spans="1:34">
      <c r="A45" t="s">
        <v>540</v>
      </c>
      <c r="B45" s="41"/>
      <c r="C45" s="6"/>
      <c r="E45" s="6"/>
    </row>
    <row r="46" spans="1:34">
      <c r="A46">
        <v>1</v>
      </c>
      <c r="B46" s="41">
        <f t="shared" si="5"/>
        <v>20750620</v>
      </c>
      <c r="C46" s="41" t="s">
        <v>541</v>
      </c>
      <c r="D46">
        <v>1780</v>
      </c>
      <c r="E46" s="6">
        <f t="shared" si="9"/>
        <v>1780</v>
      </c>
      <c r="F46" s="47">
        <f t="shared" si="8"/>
        <v>11657651.685393259</v>
      </c>
      <c r="G46">
        <v>0</v>
      </c>
      <c r="H46" s="46">
        <v>0</v>
      </c>
      <c r="I46">
        <f>Earthworks!J67+Earthworks!J68</f>
        <v>5975560</v>
      </c>
      <c r="J46">
        <f>Track!H52</f>
        <v>5405000</v>
      </c>
      <c r="K46">
        <f>'Signalling and Control'!E49</f>
        <v>8226060</v>
      </c>
      <c r="L46">
        <f>SUM('Civil Works'!F99:F102)</f>
        <v>1084000</v>
      </c>
      <c r="M46">
        <v>0</v>
      </c>
      <c r="N46">
        <f>Land!H26</f>
        <v>60000</v>
      </c>
    </row>
    <row r="47" spans="1:34">
      <c r="A47">
        <v>2</v>
      </c>
      <c r="B47" s="41">
        <f t="shared" si="5"/>
        <v>5664540</v>
      </c>
      <c r="C47" s="41" t="s">
        <v>604</v>
      </c>
      <c r="D47">
        <v>1420</v>
      </c>
      <c r="E47" s="6">
        <f t="shared" si="9"/>
        <v>3200</v>
      </c>
      <c r="F47" s="47">
        <f t="shared" si="8"/>
        <v>3989112.676056338</v>
      </c>
      <c r="G47">
        <v>0</v>
      </c>
      <c r="H47" s="46">
        <v>0</v>
      </c>
      <c r="I47">
        <f>Earthworks!J69</f>
        <v>1363200</v>
      </c>
      <c r="J47">
        <f>Track!H53</f>
        <v>3195000</v>
      </c>
      <c r="K47">
        <f>'Signalling and Control'!E50</f>
        <v>180340</v>
      </c>
      <c r="L47">
        <f>'Civil Works'!F103+'Civil Works'!F104</f>
        <v>426000</v>
      </c>
      <c r="M47">
        <v>0</v>
      </c>
      <c r="N47">
        <f>Land!H27</f>
        <v>499999.99999999994</v>
      </c>
    </row>
    <row r="48" spans="1:34">
      <c r="A48">
        <v>3</v>
      </c>
      <c r="B48" s="41">
        <f t="shared" si="5"/>
        <v>32600474.687677547</v>
      </c>
      <c r="C48" s="41" t="s">
        <v>605</v>
      </c>
      <c r="D48">
        <v>4690</v>
      </c>
      <c r="E48" s="6">
        <f t="shared" si="9"/>
        <v>7890</v>
      </c>
      <c r="F48" s="47">
        <f t="shared" si="8"/>
        <v>6951060.7009973442</v>
      </c>
      <c r="G48">
        <v>0</v>
      </c>
      <c r="H48" s="46">
        <f>Bridges!H38</f>
        <v>2056944.6876775487</v>
      </c>
      <c r="I48">
        <f>Earthworks!J70</f>
        <v>1688400</v>
      </c>
      <c r="J48">
        <f>Track!H54</f>
        <v>11952500</v>
      </c>
      <c r="K48">
        <f>'Signalling and Control'!E51</f>
        <v>8595630</v>
      </c>
      <c r="L48">
        <f>SUM('Civil Works'!F105:F109)</f>
        <v>3307000</v>
      </c>
      <c r="M48">
        <f>Stations!G18</f>
        <v>5000000</v>
      </c>
      <c r="N48">
        <v>0</v>
      </c>
    </row>
    <row r="49" spans="1:14">
      <c r="A49" t="s">
        <v>619</v>
      </c>
      <c r="B49" s="41"/>
      <c r="E49" s="6"/>
    </row>
    <row r="50" spans="1:14">
      <c r="A50">
        <v>1</v>
      </c>
      <c r="B50" s="41">
        <f t="shared" si="5"/>
        <v>70200300</v>
      </c>
      <c r="C50" s="41" t="s">
        <v>619</v>
      </c>
      <c r="D50">
        <v>22300</v>
      </c>
      <c r="E50" s="6">
        <f t="shared" si="9"/>
        <v>22300</v>
      </c>
      <c r="F50" s="47">
        <f t="shared" si="8"/>
        <v>3147995.5156950671</v>
      </c>
      <c r="G50">
        <v>0</v>
      </c>
      <c r="H50" s="46">
        <v>0</v>
      </c>
      <c r="I50">
        <f>Earthworks!J71+Earthworks!J72</f>
        <v>5503200</v>
      </c>
      <c r="J50">
        <f>Track!H55</f>
        <v>50175000</v>
      </c>
      <c r="K50">
        <f>'Signalling and Control'!E52</f>
        <v>2832100</v>
      </c>
      <c r="L50">
        <f>SUM('Civil Works'!F110:F113)</f>
        <v>11690000</v>
      </c>
      <c r="M50">
        <v>0</v>
      </c>
      <c r="N50">
        <v>0</v>
      </c>
    </row>
    <row r="51" spans="1:14">
      <c r="A51" t="s">
        <v>490</v>
      </c>
      <c r="B51" s="41"/>
      <c r="E51" s="6"/>
    </row>
    <row r="52" spans="1:14">
      <c r="A52">
        <v>1</v>
      </c>
      <c r="B52" s="41">
        <f t="shared" si="5"/>
        <v>7226920</v>
      </c>
      <c r="C52" s="41" t="s">
        <v>494</v>
      </c>
      <c r="D52">
        <v>1300</v>
      </c>
      <c r="E52" s="6">
        <f t="shared" si="9"/>
        <v>1300</v>
      </c>
      <c r="F52" s="47">
        <f t="shared" si="8"/>
        <v>5559169.230769231</v>
      </c>
      <c r="G52">
        <v>0</v>
      </c>
      <c r="H52" s="46">
        <v>0</v>
      </c>
      <c r="I52">
        <f>SUM(Earthworks!J73:J74)</f>
        <v>3094820</v>
      </c>
      <c r="J52">
        <f>Track!H56</f>
        <v>2925000</v>
      </c>
      <c r="K52">
        <f>'Signalling and Control'!E53</f>
        <v>165100</v>
      </c>
      <c r="L52">
        <f>SUM('Civil Works'!F114:F116)</f>
        <v>890000</v>
      </c>
      <c r="M52">
        <v>0</v>
      </c>
      <c r="N52">
        <f>Land!H28</f>
        <v>152000</v>
      </c>
    </row>
    <row r="53" spans="1:14">
      <c r="A53">
        <v>2</v>
      </c>
      <c r="B53" s="41">
        <f t="shared" si="5"/>
        <v>19806665.916270316</v>
      </c>
      <c r="C53" s="41" t="s">
        <v>491</v>
      </c>
      <c r="D53">
        <v>1050</v>
      </c>
      <c r="E53" s="6">
        <f t="shared" si="9"/>
        <v>2350</v>
      </c>
      <c r="F53" s="47">
        <f t="shared" si="8"/>
        <v>18863491.348828875</v>
      </c>
      <c r="G53">
        <v>0</v>
      </c>
      <c r="H53" s="46">
        <f>Bridges!H39</f>
        <v>16395935.916270318</v>
      </c>
      <c r="I53">
        <f>Earthworks!J75+Earthworks!J76</f>
        <v>722880</v>
      </c>
      <c r="J53">
        <f>Track!H57</f>
        <v>2362500</v>
      </c>
      <c r="K53">
        <f>'Signalling and Control'!E54</f>
        <v>133350</v>
      </c>
      <c r="L53">
        <f>'Civil Works'!F117+'Civil Works'!F118</f>
        <v>150000</v>
      </c>
      <c r="M53">
        <v>0</v>
      </c>
      <c r="N53">
        <f>Land!H29</f>
        <v>42000</v>
      </c>
    </row>
    <row r="54" spans="1:14">
      <c r="A54">
        <v>3</v>
      </c>
      <c r="B54" s="41">
        <f t="shared" si="5"/>
        <v>4638400</v>
      </c>
      <c r="C54" s="41" t="s">
        <v>561</v>
      </c>
      <c r="D54">
        <v>1600</v>
      </c>
      <c r="E54" s="6">
        <f t="shared" si="9"/>
        <v>3950</v>
      </c>
      <c r="F54" s="47">
        <f t="shared" si="8"/>
        <v>2899000</v>
      </c>
      <c r="G54">
        <v>0</v>
      </c>
      <c r="H54" s="46">
        <v>0</v>
      </c>
      <c r="I54">
        <f>Earthworks!J77</f>
        <v>291200</v>
      </c>
      <c r="J54">
        <f>Track!H58</f>
        <v>3600000</v>
      </c>
      <c r="K54">
        <f>'Signalling and Control'!E55</f>
        <v>203200</v>
      </c>
      <c r="L54">
        <f>'Civil Works'!F119+'Civil Works'!F120</f>
        <v>480000</v>
      </c>
      <c r="M54">
        <v>0</v>
      </c>
      <c r="N54">
        <f>Land!H30</f>
        <v>64000</v>
      </c>
    </row>
    <row r="55" spans="1:14">
      <c r="A55">
        <v>4</v>
      </c>
      <c r="B55" s="41">
        <f t="shared" si="5"/>
        <v>8559210.9150611218</v>
      </c>
      <c r="C55" s="41" t="s">
        <v>492</v>
      </c>
      <c r="D55">
        <v>1100</v>
      </c>
      <c r="E55" s="6">
        <f t="shared" si="9"/>
        <v>5050</v>
      </c>
      <c r="F55" s="47">
        <f t="shared" si="8"/>
        <v>7781100.8318737466</v>
      </c>
      <c r="G55">
        <v>0</v>
      </c>
      <c r="H55" s="46">
        <f>Bridges!H40</f>
        <v>3165310.9150611213</v>
      </c>
      <c r="I55">
        <f>Earthworks!J78</f>
        <v>655200</v>
      </c>
      <c r="J55">
        <f>Track!H59</f>
        <v>2475000</v>
      </c>
      <c r="K55">
        <f>'Signalling and Control'!E56</f>
        <v>139700</v>
      </c>
      <c r="L55">
        <f>'Civil Works'!F121+'Civil Works'!F122+'Civil Works'!F123+'Civil Works'!F124</f>
        <v>2080000</v>
      </c>
      <c r="M55">
        <v>0</v>
      </c>
      <c r="N55">
        <f>Land!H31</f>
        <v>44000</v>
      </c>
    </row>
    <row r="56" spans="1:14">
      <c r="A56">
        <v>5</v>
      </c>
      <c r="B56" s="41">
        <f t="shared" si="5"/>
        <v>39630170</v>
      </c>
      <c r="C56" s="41" t="s">
        <v>493</v>
      </c>
      <c r="D56">
        <v>2250</v>
      </c>
      <c r="E56" s="6">
        <f t="shared" si="9"/>
        <v>7300</v>
      </c>
      <c r="F56" s="47">
        <f t="shared" si="8"/>
        <v>17613408.888888888</v>
      </c>
      <c r="G56">
        <v>0</v>
      </c>
      <c r="H56" s="46">
        <v>0</v>
      </c>
      <c r="I56">
        <f>Earthworks!J79</f>
        <v>241920</v>
      </c>
      <c r="J56">
        <f>Track!H60+Track!H61</f>
        <v>6712500</v>
      </c>
      <c r="K56">
        <f>'Signalling and Control'!E57</f>
        <v>8285750</v>
      </c>
      <c r="L56">
        <f>SUM('Civil Works'!F125:F129)</f>
        <v>10890000</v>
      </c>
      <c r="M56">
        <f>Stations!G19</f>
        <v>13500000</v>
      </c>
      <c r="N56"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1"/>
  <sheetViews>
    <sheetView topLeftCell="C1" zoomScale="150" workbookViewId="0">
      <selection activeCell="C37" sqref="C37"/>
    </sheetView>
  </sheetViews>
  <sheetFormatPr baseColWidth="10" defaultRowHeight="13"/>
  <cols>
    <col min="1" max="1" width="13.42578125" bestFit="1" customWidth="1"/>
    <col min="2" max="2" width="33.85546875" customWidth="1"/>
    <col min="3" max="3" width="10" bestFit="1" customWidth="1"/>
    <col min="4" max="4" width="10.85546875" bestFit="1" customWidth="1"/>
    <col min="6" max="6" width="13.28515625" bestFit="1" customWidth="1"/>
    <col min="7" max="7" width="13.28515625" style="46" bestFit="1" customWidth="1"/>
  </cols>
  <sheetData>
    <row r="1" spans="1:7" s="36" customFormat="1">
      <c r="A1" s="36" t="s">
        <v>7</v>
      </c>
      <c r="B1" s="36" t="s">
        <v>8</v>
      </c>
      <c r="G1" s="45"/>
    </row>
    <row r="2" spans="1:7">
      <c r="A2" t="s">
        <v>118</v>
      </c>
      <c r="B2">
        <v>500</v>
      </c>
    </row>
    <row r="3" spans="1:7">
      <c r="A3" t="s">
        <v>119</v>
      </c>
      <c r="B3">
        <v>1000</v>
      </c>
    </row>
    <row r="4" spans="1:7">
      <c r="A4" t="s">
        <v>120</v>
      </c>
      <c r="B4">
        <v>2500</v>
      </c>
    </row>
    <row r="5" spans="1:7">
      <c r="A5" t="s">
        <v>121</v>
      </c>
      <c r="B5">
        <v>5000</v>
      </c>
    </row>
    <row r="6" spans="1:7">
      <c r="A6" t="s">
        <v>332</v>
      </c>
      <c r="B6">
        <v>10000</v>
      </c>
    </row>
    <row r="7" spans="1:7">
      <c r="A7" t="s">
        <v>333</v>
      </c>
      <c r="B7">
        <v>250000</v>
      </c>
    </row>
    <row r="8" spans="1:7">
      <c r="A8" t="s">
        <v>122</v>
      </c>
      <c r="B8">
        <v>2500000</v>
      </c>
    </row>
    <row r="9" spans="1:7">
      <c r="A9" t="s">
        <v>123</v>
      </c>
      <c r="B9">
        <v>5000000</v>
      </c>
    </row>
    <row r="10" spans="1:7">
      <c r="A10" t="s">
        <v>0</v>
      </c>
      <c r="B10">
        <v>7500000</v>
      </c>
    </row>
    <row r="11" spans="1:7">
      <c r="A11" t="s">
        <v>1</v>
      </c>
      <c r="B11">
        <v>10000000</v>
      </c>
    </row>
    <row r="12" spans="1:7">
      <c r="A12" t="s">
        <v>2</v>
      </c>
      <c r="B12">
        <v>25000000</v>
      </c>
    </row>
    <row r="14" spans="1:7">
      <c r="A14" t="s">
        <v>3</v>
      </c>
      <c r="B14" t="s">
        <v>4</v>
      </c>
      <c r="C14" t="s">
        <v>5</v>
      </c>
    </row>
    <row r="17" spans="1:8">
      <c r="A17" t="s">
        <v>244</v>
      </c>
      <c r="B17" t="s">
        <v>9</v>
      </c>
      <c r="C17" t="s">
        <v>334</v>
      </c>
      <c r="D17" t="s">
        <v>335</v>
      </c>
      <c r="E17" t="s">
        <v>12</v>
      </c>
      <c r="F17" t="s">
        <v>6</v>
      </c>
      <c r="G17" t="s">
        <v>466</v>
      </c>
      <c r="H17" s="46" t="s">
        <v>13</v>
      </c>
    </row>
    <row r="18" spans="1:8">
      <c r="A18" t="s">
        <v>10</v>
      </c>
      <c r="B18" t="s">
        <v>11</v>
      </c>
      <c r="C18">
        <v>1</v>
      </c>
      <c r="D18" t="s">
        <v>465</v>
      </c>
      <c r="E18">
        <f>32.5</f>
        <v>32.5</v>
      </c>
      <c r="F18">
        <f>B5</f>
        <v>5000</v>
      </c>
      <c r="G18" t="s">
        <v>465</v>
      </c>
      <c r="H18" s="46">
        <f>F18*E18*C18</f>
        <v>162500</v>
      </c>
    </row>
    <row r="19" spans="1:8">
      <c r="A19" t="s">
        <v>463</v>
      </c>
      <c r="B19" t="s">
        <v>464</v>
      </c>
      <c r="C19">
        <v>5</v>
      </c>
      <c r="D19" t="s">
        <v>465</v>
      </c>
      <c r="E19">
        <v>0.7</v>
      </c>
      <c r="F19" t="s">
        <v>465</v>
      </c>
      <c r="G19">
        <v>585000</v>
      </c>
      <c r="H19" s="46">
        <f>G19*E19*C19</f>
        <v>2047500</v>
      </c>
    </row>
    <row r="20" spans="1:8">
      <c r="A20" t="s">
        <v>330</v>
      </c>
      <c r="B20" t="s">
        <v>331</v>
      </c>
      <c r="C20">
        <v>1000</v>
      </c>
      <c r="D20">
        <v>40</v>
      </c>
      <c r="E20">
        <f t="shared" ref="E20:E26" si="0">D20*C20/10000</f>
        <v>4</v>
      </c>
      <c r="F20">
        <f>B6</f>
        <v>10000</v>
      </c>
      <c r="G20" s="46" t="s">
        <v>465</v>
      </c>
      <c r="H20">
        <f t="shared" ref="H20:H27" si="1">F20*E20</f>
        <v>40000</v>
      </c>
    </row>
    <row r="21" spans="1:8">
      <c r="A21" t="s">
        <v>415</v>
      </c>
      <c r="B21" t="s">
        <v>416</v>
      </c>
      <c r="C21">
        <v>3520</v>
      </c>
      <c r="D21">
        <v>60</v>
      </c>
      <c r="E21">
        <f t="shared" si="0"/>
        <v>21.12</v>
      </c>
      <c r="F21">
        <f>B6</f>
        <v>10000</v>
      </c>
      <c r="G21" s="46" t="s">
        <v>465</v>
      </c>
      <c r="H21">
        <f t="shared" si="1"/>
        <v>211200</v>
      </c>
    </row>
    <row r="22" spans="1:8">
      <c r="A22" t="s">
        <v>426</v>
      </c>
      <c r="B22" t="s">
        <v>427</v>
      </c>
      <c r="C22">
        <v>1180</v>
      </c>
      <c r="D22">
        <v>60</v>
      </c>
      <c r="E22">
        <f t="shared" si="0"/>
        <v>7.08</v>
      </c>
      <c r="F22">
        <f>B6</f>
        <v>10000</v>
      </c>
      <c r="G22" s="46" t="s">
        <v>465</v>
      </c>
      <c r="H22">
        <f t="shared" si="1"/>
        <v>70800</v>
      </c>
    </row>
    <row r="23" spans="1:8">
      <c r="A23" t="s">
        <v>446</v>
      </c>
      <c r="B23" t="s">
        <v>512</v>
      </c>
      <c r="C23">
        <v>1660</v>
      </c>
      <c r="D23">
        <v>40</v>
      </c>
      <c r="E23">
        <f t="shared" si="0"/>
        <v>6.64</v>
      </c>
      <c r="F23">
        <f>B6</f>
        <v>10000</v>
      </c>
      <c r="G23" s="46" t="s">
        <v>465</v>
      </c>
      <c r="H23">
        <f t="shared" si="1"/>
        <v>66400</v>
      </c>
    </row>
    <row r="24" spans="1:8">
      <c r="A24" t="s">
        <v>511</v>
      </c>
      <c r="B24" t="s">
        <v>512</v>
      </c>
      <c r="C24">
        <v>680</v>
      </c>
      <c r="D24">
        <v>40</v>
      </c>
      <c r="E24">
        <f t="shared" si="0"/>
        <v>2.72</v>
      </c>
      <c r="F24">
        <f>B6</f>
        <v>10000</v>
      </c>
      <c r="G24" s="46" t="s">
        <v>465</v>
      </c>
      <c r="H24">
        <f t="shared" si="1"/>
        <v>27200.000000000004</v>
      </c>
    </row>
    <row r="25" spans="1:8">
      <c r="A25" t="s">
        <v>519</v>
      </c>
      <c r="B25" t="s">
        <v>512</v>
      </c>
      <c r="C25">
        <v>2300</v>
      </c>
      <c r="D25">
        <v>40</v>
      </c>
      <c r="E25">
        <f t="shared" si="0"/>
        <v>9.1999999999999993</v>
      </c>
      <c r="F25">
        <f>B6</f>
        <v>10000</v>
      </c>
      <c r="G25" s="46" t="s">
        <v>465</v>
      </c>
      <c r="H25">
        <f t="shared" si="1"/>
        <v>92000</v>
      </c>
    </row>
    <row r="26" spans="1:8">
      <c r="A26" t="s">
        <v>549</v>
      </c>
      <c r="B26" t="s">
        <v>550</v>
      </c>
      <c r="C26">
        <v>1000</v>
      </c>
      <c r="D26">
        <v>60</v>
      </c>
      <c r="E26">
        <f t="shared" si="0"/>
        <v>6</v>
      </c>
      <c r="F26">
        <f>B6</f>
        <v>10000</v>
      </c>
      <c r="G26" s="46" t="s">
        <v>465</v>
      </c>
      <c r="H26">
        <f t="shared" si="1"/>
        <v>60000</v>
      </c>
    </row>
    <row r="27" spans="1:8">
      <c r="A27" t="s">
        <v>601</v>
      </c>
      <c r="B27" t="s">
        <v>602</v>
      </c>
      <c r="C27" t="s">
        <v>603</v>
      </c>
      <c r="E27">
        <v>29</v>
      </c>
      <c r="F27" s="51">
        <f>G27/E27</f>
        <v>17241.379310344826</v>
      </c>
      <c r="G27" s="46">
        <v>500000</v>
      </c>
      <c r="H27">
        <f t="shared" si="1"/>
        <v>499999.99999999994</v>
      </c>
    </row>
    <row r="28" spans="1:8">
      <c r="A28" t="s">
        <v>505</v>
      </c>
      <c r="B28" t="s">
        <v>560</v>
      </c>
      <c r="C28">
        <v>1300</v>
      </c>
      <c r="D28">
        <v>40</v>
      </c>
      <c r="E28">
        <f t="shared" ref="E28:E31" si="2">D28*C28/10000</f>
        <v>5.2</v>
      </c>
      <c r="F28">
        <f>B6</f>
        <v>10000</v>
      </c>
      <c r="G28" s="46" t="s">
        <v>465</v>
      </c>
      <c r="H28">
        <f>F28*E28+100000</f>
        <v>152000</v>
      </c>
    </row>
    <row r="29" spans="1:8">
      <c r="A29" t="s">
        <v>567</v>
      </c>
      <c r="B29" t="s">
        <v>568</v>
      </c>
      <c r="C29">
        <v>1050</v>
      </c>
      <c r="D29">
        <v>40</v>
      </c>
      <c r="E29">
        <f t="shared" si="2"/>
        <v>4.2</v>
      </c>
      <c r="F29">
        <f>B6</f>
        <v>10000</v>
      </c>
      <c r="G29" s="46" t="s">
        <v>465</v>
      </c>
      <c r="H29">
        <f>F29*E29</f>
        <v>42000</v>
      </c>
    </row>
    <row r="30" spans="1:8">
      <c r="A30" t="s">
        <v>576</v>
      </c>
      <c r="B30" t="s">
        <v>568</v>
      </c>
      <c r="C30">
        <v>1600</v>
      </c>
      <c r="D30">
        <v>40</v>
      </c>
      <c r="E30">
        <f t="shared" si="2"/>
        <v>6.4</v>
      </c>
      <c r="F30">
        <f>B6</f>
        <v>10000</v>
      </c>
      <c r="G30" s="46" t="s">
        <v>465</v>
      </c>
      <c r="H30">
        <f>F30*E30</f>
        <v>64000</v>
      </c>
    </row>
    <row r="31" spans="1:8">
      <c r="A31" t="s">
        <v>583</v>
      </c>
      <c r="B31" t="s">
        <v>562</v>
      </c>
      <c r="C31">
        <v>1100</v>
      </c>
      <c r="D31">
        <v>40</v>
      </c>
      <c r="E31">
        <f t="shared" si="2"/>
        <v>4.4000000000000004</v>
      </c>
      <c r="F31">
        <f>B6</f>
        <v>10000</v>
      </c>
      <c r="G31" s="46" t="s">
        <v>465</v>
      </c>
      <c r="H31">
        <f>F31*E31</f>
        <v>44000</v>
      </c>
    </row>
  </sheetData>
  <sheetCalcPr fullCalcOnLoad="1"/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65"/>
  <sheetViews>
    <sheetView topLeftCell="A22" zoomScale="150" workbookViewId="0">
      <selection activeCell="A54" sqref="A54:E70"/>
    </sheetView>
  </sheetViews>
  <sheetFormatPr baseColWidth="10" defaultRowHeight="13"/>
  <cols>
    <col min="1" max="1" width="14.5703125" bestFit="1" customWidth="1"/>
    <col min="2" max="2" width="12" style="41" bestFit="1" customWidth="1"/>
    <col min="3" max="3" width="10.7109375" style="48"/>
    <col min="4" max="12" width="10.7109375" style="41"/>
    <col min="13" max="20" width="10.7109375" style="42"/>
    <col min="22" max="22" width="10.7109375" style="40"/>
  </cols>
  <sheetData>
    <row r="1" spans="1:22">
      <c r="C1" s="52"/>
      <c r="E1" s="41" t="s">
        <v>116</v>
      </c>
      <c r="M1" s="42" t="s">
        <v>117</v>
      </c>
    </row>
    <row r="2" spans="1:22">
      <c r="A2" s="31" t="s">
        <v>244</v>
      </c>
      <c r="B2" s="41" t="s">
        <v>114</v>
      </c>
      <c r="C2" s="52" t="s">
        <v>245</v>
      </c>
      <c r="D2" s="41" t="s">
        <v>91</v>
      </c>
      <c r="E2" s="41" t="s">
        <v>102</v>
      </c>
      <c r="F2" s="41" t="s">
        <v>103</v>
      </c>
      <c r="G2" s="41" t="s">
        <v>248</v>
      </c>
      <c r="H2" s="41" t="s">
        <v>104</v>
      </c>
      <c r="I2" s="41" t="s">
        <v>105</v>
      </c>
      <c r="J2" s="41" t="s">
        <v>106</v>
      </c>
      <c r="K2" s="41" t="s">
        <v>107</v>
      </c>
      <c r="L2" s="41" t="s">
        <v>243</v>
      </c>
      <c r="M2" s="42" t="s">
        <v>102</v>
      </c>
      <c r="N2" s="42" t="s">
        <v>103</v>
      </c>
      <c r="O2" s="42" t="s">
        <v>248</v>
      </c>
      <c r="P2" s="42" t="s">
        <v>104</v>
      </c>
      <c r="Q2" s="42" t="s">
        <v>105</v>
      </c>
      <c r="R2" s="42" t="s">
        <v>106</v>
      </c>
      <c r="S2" s="42" t="s">
        <v>107</v>
      </c>
      <c r="T2" s="42" t="s">
        <v>243</v>
      </c>
      <c r="U2" s="42"/>
      <c r="V2" s="40" t="s">
        <v>418</v>
      </c>
    </row>
    <row r="3" spans="1:22">
      <c r="C3" s="52"/>
      <c r="V3" s="40" t="s">
        <v>419</v>
      </c>
    </row>
    <row r="4" spans="1:22">
      <c r="A4" t="str">
        <f>Overview!A5</f>
        <v>Canberra exit</v>
      </c>
      <c r="B4" s="41">
        <f>SUM(Overview!B6:B14)</f>
        <v>346587028.32180679</v>
      </c>
      <c r="C4" s="52">
        <f>SUM(Overview!D6:D14)</f>
        <v>14890</v>
      </c>
      <c r="D4" s="41">
        <f>B4/C4*1000</f>
        <v>23276496.193539742</v>
      </c>
      <c r="E4" s="41">
        <f>SUM(Overview!G6:G14)</f>
        <v>0</v>
      </c>
      <c r="F4" s="41">
        <f>SUM(Overview!H6:H14)</f>
        <v>160346662.07180685</v>
      </c>
      <c r="G4" s="41">
        <f>SUM(Overview!I6:I14)</f>
        <v>4724066.25</v>
      </c>
      <c r="H4" s="41">
        <f>SUM(Overview!J6:J14)</f>
        <v>40820250</v>
      </c>
      <c r="I4" s="41">
        <f>SUM(Overview!K6:K14)</f>
        <v>17892300</v>
      </c>
      <c r="J4" s="41">
        <f>SUM(Overview!L6:L14)</f>
        <v>22803750</v>
      </c>
      <c r="K4" s="41">
        <f>SUM(Overview!M6:M14)</f>
        <v>100000000</v>
      </c>
      <c r="L4" s="41">
        <f>SUM(Overview!N6:N14)</f>
        <v>0</v>
      </c>
      <c r="M4" s="42">
        <f>E4/$B4</f>
        <v>0</v>
      </c>
      <c r="N4" s="42">
        <f t="shared" ref="N4:T4" si="0">F4/$B4</f>
        <v>0.46264472980484611</v>
      </c>
      <c r="O4" s="42">
        <f t="shared" si="0"/>
        <v>1.3630245404377034E-2</v>
      </c>
      <c r="P4" s="42">
        <f t="shared" si="0"/>
        <v>0.11777777777100853</v>
      </c>
      <c r="Q4" s="42">
        <f t="shared" si="0"/>
        <v>5.1624263281391365E-2</v>
      </c>
      <c r="R4" s="42">
        <f t="shared" si="0"/>
        <v>6.5795162936180832E-2</v>
      </c>
      <c r="S4" s="42">
        <f t="shared" si="0"/>
        <v>0.2885278208021963</v>
      </c>
      <c r="T4" s="42">
        <f t="shared" si="0"/>
        <v>0</v>
      </c>
      <c r="V4" s="40">
        <f>SUM(Earthworks!K9:K19)</f>
        <v>27472.5</v>
      </c>
    </row>
    <row r="5" spans="1:22">
      <c r="A5" t="str">
        <f>Overview!A15</f>
        <v>Molonglo Gorge</v>
      </c>
      <c r="B5" s="41">
        <f>SUM(Overview!B16:B23)</f>
        <v>124764867.88054244</v>
      </c>
      <c r="C5" s="52">
        <f>SUM(Overview!D16:D23)</f>
        <v>6120</v>
      </c>
      <c r="D5" s="41">
        <f t="shared" ref="D5:D14" si="1">B5/C5*1000</f>
        <v>20386416.320350073</v>
      </c>
      <c r="E5" s="41">
        <f>SUM(Overview!G16:G23)</f>
        <v>40300000</v>
      </c>
      <c r="F5" s="41">
        <f>SUM(Overview!H16:H23)</f>
        <v>49257215.380542442</v>
      </c>
      <c r="G5" s="41">
        <f>SUM(Overview!I16:I23)</f>
        <v>19461412.5</v>
      </c>
      <c r="H5" s="41">
        <f>SUM(Overview!J16:J23)</f>
        <v>13635000</v>
      </c>
      <c r="I5" s="41">
        <f>SUM(Overview!K16:K23)</f>
        <v>777240</v>
      </c>
      <c r="J5" s="41">
        <f>SUM(Overview!L16:L23)</f>
        <v>1334000</v>
      </c>
      <c r="K5" s="41">
        <f>SUM(Overview!M16:M23)</f>
        <v>0</v>
      </c>
      <c r="L5" s="41">
        <f>SUM(Overview!N16:N23)</f>
        <v>0</v>
      </c>
      <c r="M5" s="42">
        <f t="shared" ref="M5:M7" si="2">E5/$B5</f>
        <v>0.32300759568459364</v>
      </c>
      <c r="N5" s="42">
        <f t="shared" ref="N5:N7" si="3">F5/$B5</f>
        <v>0.39480036501705218</v>
      </c>
      <c r="O5" s="42">
        <f t="shared" ref="O5:O7" si="4">G5/$B5</f>
        <v>0.15598471613526296</v>
      </c>
      <c r="P5" s="42">
        <f t="shared" ref="P5:P7" si="5">H5/$B5</f>
        <v>0.10928557238609019</v>
      </c>
      <c r="Q5" s="42">
        <f t="shared" ref="Q5:Q7" si="6">I5/$B5</f>
        <v>6.2296383044638604E-3</v>
      </c>
      <c r="R5" s="42">
        <f t="shared" ref="R5:R7" si="7">J5/$B5</f>
        <v>1.0692112472537169E-2</v>
      </c>
      <c r="S5" s="42">
        <f t="shared" ref="S5:S7" si="8">K5/$B5</f>
        <v>0</v>
      </c>
      <c r="T5" s="42">
        <f t="shared" ref="T5:T7" si="9">L5/$B5</f>
        <v>0</v>
      </c>
      <c r="V5" s="40">
        <f>SUM(Earthworks!K20:K29)</f>
        <v>309127.5</v>
      </c>
    </row>
    <row r="6" spans="1:22">
      <c r="A6" t="str">
        <f>Overview!A24</f>
        <v>Kowen Forest</v>
      </c>
      <c r="B6" s="41">
        <f>SUM(Overview!B25:B28)</f>
        <v>107874207.94734637</v>
      </c>
      <c r="C6" s="52">
        <f>SUM(Overview!D25:D28)</f>
        <v>6350</v>
      </c>
      <c r="D6" s="41">
        <f t="shared" si="1"/>
        <v>16988064.243676595</v>
      </c>
      <c r="E6" s="41">
        <f>SUM(Overview!G25:G28)</f>
        <v>71300000</v>
      </c>
      <c r="F6" s="41">
        <f>SUM(Overview!H25:H28)</f>
        <v>5101587.9473463716</v>
      </c>
      <c r="G6" s="41">
        <f>SUM(Overview!I25:I28)</f>
        <v>12043920</v>
      </c>
      <c r="H6" s="41">
        <f>SUM(Overview!J25:J28)</f>
        <v>13601250</v>
      </c>
      <c r="I6" s="41">
        <f>SUM(Overview!K25:K28)</f>
        <v>806450</v>
      </c>
      <c r="J6" s="41">
        <f>SUM(Overview!L25:L28)</f>
        <v>5021000</v>
      </c>
      <c r="K6" s="41">
        <f>SUM(Overview!M25:M28)</f>
        <v>0</v>
      </c>
      <c r="L6" s="41">
        <f>SUM(Overview!N25:N28)</f>
        <v>0</v>
      </c>
      <c r="M6" s="42">
        <f t="shared" si="2"/>
        <v>0.66095502675488171</v>
      </c>
      <c r="N6" s="42">
        <f t="shared" si="3"/>
        <v>4.7292008390332443E-2</v>
      </c>
      <c r="O6" s="42">
        <f t="shared" si="4"/>
        <v>0.11164781859514243</v>
      </c>
      <c r="P6" s="42">
        <f t="shared" si="5"/>
        <v>0.12608435564726278</v>
      </c>
      <c r="Q6" s="42">
        <f t="shared" si="6"/>
        <v>7.4758370452520954E-3</v>
      </c>
      <c r="R6" s="42">
        <f t="shared" si="7"/>
        <v>4.654495356712849E-2</v>
      </c>
      <c r="S6" s="42">
        <f t="shared" si="8"/>
        <v>0</v>
      </c>
      <c r="T6" s="42">
        <f t="shared" si="9"/>
        <v>0</v>
      </c>
      <c r="V6" s="40">
        <f>SUM(Earthworks!K30:K38)</f>
        <v>137317.5</v>
      </c>
    </row>
    <row r="7" spans="1:22">
      <c r="A7" t="s">
        <v>115</v>
      </c>
      <c r="B7" s="41">
        <f>SUM(Overview!B30:B33)</f>
        <v>86374360</v>
      </c>
      <c r="C7" s="52">
        <f>SUM(Overview!D30:D33)</f>
        <v>10800</v>
      </c>
      <c r="D7" s="41">
        <f t="shared" si="1"/>
        <v>7997625.9259259263</v>
      </c>
      <c r="E7" s="41">
        <f>SUM(Overview!G30:G33)</f>
        <v>18600000</v>
      </c>
      <c r="F7" s="41">
        <f>SUM(Overview!H30:H33)</f>
        <v>500000</v>
      </c>
      <c r="G7" s="41">
        <f>SUM(Overview!I30:I33)</f>
        <v>20112690</v>
      </c>
      <c r="H7" s="41">
        <f>SUM(Overview!J30:J33)</f>
        <v>25700000</v>
      </c>
      <c r="I7" s="41">
        <f>SUM(Overview!K30:K33)</f>
        <v>8725170</v>
      </c>
      <c r="J7" s="41">
        <f>SUM(Overview!L30:L33)</f>
        <v>10874000</v>
      </c>
      <c r="K7" s="41">
        <f>SUM(Overview!M30:M33)</f>
        <v>1700000</v>
      </c>
      <c r="L7" s="41">
        <f>SUM(Overview!N30:N33)</f>
        <v>162500</v>
      </c>
      <c r="M7" s="42">
        <f t="shared" si="2"/>
        <v>0.21534168241593918</v>
      </c>
      <c r="N7" s="42">
        <f t="shared" si="3"/>
        <v>5.7887549036542791E-3</v>
      </c>
      <c r="O7" s="42">
        <f t="shared" si="4"/>
        <v>0.23285486572635675</v>
      </c>
      <c r="P7" s="42">
        <f t="shared" si="5"/>
        <v>0.29754200204782993</v>
      </c>
      <c r="Q7" s="42">
        <f t="shared" si="6"/>
        <v>0.10101574124543442</v>
      </c>
      <c r="R7" s="42">
        <f t="shared" si="7"/>
        <v>0.12589384164467327</v>
      </c>
      <c r="S7" s="42">
        <f t="shared" si="8"/>
        <v>1.968176667242455E-2</v>
      </c>
      <c r="T7" s="42">
        <f t="shared" si="9"/>
        <v>1.8813453436876406E-3</v>
      </c>
      <c r="U7" s="42"/>
      <c r="V7" s="40">
        <f>SUM(Earthworks!K39:K48)</f>
        <v>-558652.5</v>
      </c>
    </row>
    <row r="8" spans="1:22">
      <c r="A8" t="s">
        <v>467</v>
      </c>
      <c r="B8" s="41">
        <f>SUM(Overview!B35:B38)</f>
        <v>80579433.377818421</v>
      </c>
      <c r="C8" s="52">
        <f>SUM(Overview!D35:D38)</f>
        <v>15450</v>
      </c>
      <c r="D8" s="41">
        <f t="shared" si="1"/>
        <v>5215497.3060076647</v>
      </c>
      <c r="E8" s="41">
        <f>SUM(Overview!G35:G38)</f>
        <v>0</v>
      </c>
      <c r="F8" s="41">
        <f>SUM(Overview!H35:H38)</f>
        <v>5676433.3778184187</v>
      </c>
      <c r="G8" s="41">
        <f>SUM(Overview!I35:I38)</f>
        <v>24500100</v>
      </c>
      <c r="H8" s="41">
        <f>SUM(Overview!J35:J38)</f>
        <v>33606250</v>
      </c>
      <c r="I8" s="41">
        <f>SUM(Overview!K35:K38)</f>
        <v>5962150</v>
      </c>
      <c r="J8" s="41">
        <f>SUM(Overview!L35:L38)</f>
        <v>8465000</v>
      </c>
      <c r="K8" s="41">
        <f>SUM(Overview!M35:M38)</f>
        <v>0</v>
      </c>
      <c r="L8" s="41">
        <f>SUM(Overview!N35:N38)</f>
        <v>2369500</v>
      </c>
      <c r="M8" s="42">
        <f t="shared" ref="M8:M12" si="10">E8/$B8</f>
        <v>0</v>
      </c>
      <c r="N8" s="42">
        <f t="shared" ref="N8:N12" si="11">F8/$B8</f>
        <v>7.0445188553299065E-2</v>
      </c>
      <c r="O8" s="42">
        <f t="shared" ref="O8:O12" si="12">G8/$B8</f>
        <v>0.30404904791430676</v>
      </c>
      <c r="P8" s="42">
        <f t="shared" ref="P8:P12" si="13">H8/$B8</f>
        <v>0.41705741268281232</v>
      </c>
      <c r="Q8" s="42">
        <f t="shared" ref="Q8:Q12" si="14">I8/$B8</f>
        <v>7.399096456840111E-2</v>
      </c>
      <c r="R8" s="42">
        <f t="shared" ref="R8:R12" si="15">J8/$B8</f>
        <v>0.10505161981357654</v>
      </c>
      <c r="S8" s="42">
        <f t="shared" ref="S8:S12" si="16">K8/$B8</f>
        <v>0</v>
      </c>
      <c r="T8" s="42">
        <f t="shared" ref="T8:T12" si="17">L8/$B8</f>
        <v>2.9405766467604205E-2</v>
      </c>
      <c r="U8" s="42"/>
      <c r="V8" s="40">
        <f>SUM(Earthworks!K49:K57)</f>
        <v>-376150</v>
      </c>
    </row>
    <row r="9" spans="1:22">
      <c r="A9" t="s">
        <v>528</v>
      </c>
      <c r="B9" s="41">
        <f>SUM(Overview!B40:B44)</f>
        <v>97994724.567931175</v>
      </c>
      <c r="C9" s="52">
        <f>SUM(Overview!D40:D44)</f>
        <v>13340</v>
      </c>
      <c r="D9" s="41">
        <f t="shared" si="1"/>
        <v>7345931.3769063847</v>
      </c>
      <c r="E9" s="41">
        <f>SUM(Overview!G40:G44)</f>
        <v>0</v>
      </c>
      <c r="F9" s="41">
        <f>SUM(Overview!H40:H44)</f>
        <v>35046484.567931168</v>
      </c>
      <c r="G9" s="41">
        <f>SUM(Overview!I40:I44)</f>
        <v>10643960</v>
      </c>
      <c r="H9" s="41">
        <f>SUM(Overview!J40:J44)</f>
        <v>28852500</v>
      </c>
      <c r="I9" s="41">
        <f>SUM(Overview!K40:K44)</f>
        <v>9694180</v>
      </c>
      <c r="J9" s="41">
        <f>SUM(Overview!L40:L44)</f>
        <v>11872000</v>
      </c>
      <c r="K9" s="41">
        <f>SUM(Overview!M40:M44)</f>
        <v>1700000</v>
      </c>
      <c r="L9" s="41">
        <f>SUM(Overview!N40:N44)</f>
        <v>185600</v>
      </c>
      <c r="M9" s="42">
        <f t="shared" si="10"/>
        <v>0</v>
      </c>
      <c r="N9" s="42">
        <f t="shared" si="11"/>
        <v>0.35763644137431605</v>
      </c>
      <c r="O9" s="42">
        <f t="shared" si="12"/>
        <v>0.10861768372665279</v>
      </c>
      <c r="P9" s="42">
        <f t="shared" si="13"/>
        <v>0.29442911470197647</v>
      </c>
      <c r="Q9" s="42">
        <f t="shared" si="14"/>
        <v>9.8925529335815138E-2</v>
      </c>
      <c r="R9" s="42">
        <f t="shared" si="15"/>
        <v>0.12114937872773121</v>
      </c>
      <c r="S9" s="42">
        <f t="shared" si="16"/>
        <v>1.7347872627791701E-2</v>
      </c>
      <c r="T9" s="42">
        <f t="shared" si="17"/>
        <v>1.8939795057165527E-3</v>
      </c>
      <c r="U9" s="42"/>
      <c r="V9" s="40">
        <f>SUM(Earthworks!K60:K66)</f>
        <v>91720</v>
      </c>
    </row>
    <row r="10" spans="1:22">
      <c r="A10" t="s">
        <v>614</v>
      </c>
      <c r="B10" s="41">
        <f>SUM(Overview!B46:B48)</f>
        <v>59015634.687677547</v>
      </c>
      <c r="C10" s="52">
        <f>SUM(Overview!D46:D48)</f>
        <v>7890</v>
      </c>
      <c r="D10" s="41">
        <f t="shared" si="1"/>
        <v>7479801.608070665</v>
      </c>
      <c r="E10" s="41">
        <f>SUM(Overview!G46:G48)</f>
        <v>0</v>
      </c>
      <c r="F10" s="41">
        <f>SUM(Overview!H46:H48)</f>
        <v>2056944.6876775487</v>
      </c>
      <c r="G10" s="41">
        <f>SUM(Overview!I46:I48)</f>
        <v>9027160</v>
      </c>
      <c r="H10" s="41">
        <f>SUM(Overview!J46:J48)</f>
        <v>20552500</v>
      </c>
      <c r="I10" s="41">
        <f>SUM(Overview!K46:K48)</f>
        <v>17002030</v>
      </c>
      <c r="J10" s="41">
        <f>SUM(Overview!L46:L48)</f>
        <v>4817000</v>
      </c>
      <c r="K10" s="41">
        <f>SUM(Overview!M46:M48)</f>
        <v>5000000</v>
      </c>
      <c r="L10" s="41">
        <f>SUM(Overview!N46:N48)</f>
        <v>560000</v>
      </c>
      <c r="M10" s="42">
        <f t="shared" si="10"/>
        <v>0</v>
      </c>
      <c r="N10" s="42">
        <f t="shared" si="11"/>
        <v>3.4854233095404433E-2</v>
      </c>
      <c r="O10" s="42">
        <f t="shared" si="12"/>
        <v>0.15296217769703779</v>
      </c>
      <c r="P10" s="42">
        <f t="shared" si="13"/>
        <v>0.34825517185010224</v>
      </c>
      <c r="Q10" s="42">
        <f t="shared" si="14"/>
        <v>0.28809365670602577</v>
      </c>
      <c r="R10" s="42">
        <f t="shared" si="15"/>
        <v>8.1622438282541912E-2</v>
      </c>
      <c r="S10" s="42">
        <f t="shared" si="16"/>
        <v>8.4723311482812855E-2</v>
      </c>
      <c r="T10" s="42">
        <f t="shared" si="17"/>
        <v>9.4890108860750406E-3</v>
      </c>
      <c r="U10" s="42"/>
      <c r="V10" s="40">
        <f>SUM(Earthworks!K67:K70)</f>
        <v>175840</v>
      </c>
    </row>
    <row r="11" spans="1:22">
      <c r="A11" t="s">
        <v>489</v>
      </c>
      <c r="B11" s="41">
        <f>Overview!B50</f>
        <v>70200300</v>
      </c>
      <c r="C11" s="52">
        <f>SUM(Overview!D50)</f>
        <v>22300</v>
      </c>
      <c r="D11" s="41">
        <f t="shared" si="1"/>
        <v>3147995.5156950671</v>
      </c>
      <c r="E11" s="41">
        <f>Overview!G50</f>
        <v>0</v>
      </c>
      <c r="F11" s="41">
        <f>Overview!H50</f>
        <v>0</v>
      </c>
      <c r="G11" s="41">
        <f>Overview!I50</f>
        <v>5503200</v>
      </c>
      <c r="H11" s="41">
        <f>Overview!J50</f>
        <v>50175000</v>
      </c>
      <c r="I11" s="41">
        <f>Overview!K50</f>
        <v>2832100</v>
      </c>
      <c r="J11" s="41">
        <f>Overview!L50</f>
        <v>11690000</v>
      </c>
      <c r="K11" s="41">
        <f>Overview!M50</f>
        <v>0</v>
      </c>
      <c r="L11" s="41">
        <f>Overview!N50</f>
        <v>0</v>
      </c>
      <c r="M11" s="42">
        <f t="shared" si="10"/>
        <v>0</v>
      </c>
      <c r="N11" s="42">
        <f t="shared" si="11"/>
        <v>0</v>
      </c>
      <c r="O11" s="42">
        <f t="shared" si="12"/>
        <v>7.8392827381079569E-2</v>
      </c>
      <c r="P11" s="42">
        <f t="shared" si="13"/>
        <v>0.71474053529685766</v>
      </c>
      <c r="Q11" s="42">
        <f t="shared" si="14"/>
        <v>4.0343132436755968E-2</v>
      </c>
      <c r="R11" s="42">
        <f t="shared" si="15"/>
        <v>0.16652350488530676</v>
      </c>
      <c r="S11" s="42">
        <f t="shared" si="16"/>
        <v>0</v>
      </c>
      <c r="T11" s="42">
        <f t="shared" si="17"/>
        <v>0</v>
      </c>
      <c r="V11" s="40">
        <v>0</v>
      </c>
    </row>
    <row r="12" spans="1:22">
      <c r="A12" t="s">
        <v>559</v>
      </c>
      <c r="B12" s="41">
        <f>SUM(Overview!B52:B56)</f>
        <v>79861366.831331432</v>
      </c>
      <c r="C12" s="52">
        <f>SUM(Overview!D52:D56)</f>
        <v>7300</v>
      </c>
      <c r="D12" s="41">
        <f t="shared" si="1"/>
        <v>10939913.26456595</v>
      </c>
      <c r="E12" s="41">
        <f>SUM(Overview!G52:G56)</f>
        <v>0</v>
      </c>
      <c r="F12" s="41">
        <f>SUM(Overview!H52:H56)</f>
        <v>19561246.831331439</v>
      </c>
      <c r="G12" s="41">
        <f>SUM(Overview!I52:I56)</f>
        <v>5006020</v>
      </c>
      <c r="H12" s="41">
        <f>SUM(Overview!J52:J56)</f>
        <v>18075000</v>
      </c>
      <c r="I12" s="41">
        <f>SUM(Overview!K52:K56)</f>
        <v>8927100</v>
      </c>
      <c r="J12" s="41">
        <f>SUM(Overview!L52:L56)</f>
        <v>14490000</v>
      </c>
      <c r="K12" s="41">
        <f>SUM(Overview!M52:M56)</f>
        <v>13500000</v>
      </c>
      <c r="L12" s="41">
        <f>SUM(Overview!N52:N56)</f>
        <v>302000</v>
      </c>
      <c r="M12" s="42">
        <f t="shared" si="10"/>
        <v>0</v>
      </c>
      <c r="N12" s="42">
        <f t="shared" si="11"/>
        <v>0.24494004557479121</v>
      </c>
      <c r="O12" s="42">
        <f t="shared" si="12"/>
        <v>6.2683875804089351E-2</v>
      </c>
      <c r="P12" s="42">
        <f t="shared" si="13"/>
        <v>0.22632971006086972</v>
      </c>
      <c r="Q12" s="42">
        <f t="shared" si="14"/>
        <v>0.11178245945695103</v>
      </c>
      <c r="R12" s="42">
        <f t="shared" si="15"/>
        <v>0.18143941901975116</v>
      </c>
      <c r="S12" s="42">
        <f t="shared" si="16"/>
        <v>0.16904293697492342</v>
      </c>
      <c r="T12" s="42">
        <f t="shared" si="17"/>
        <v>3.7815531086242129E-3</v>
      </c>
      <c r="V12" s="40">
        <f>SUM(Earthworks!K73:K79)</f>
        <v>-1410</v>
      </c>
    </row>
    <row r="13" spans="1:22">
      <c r="C13" s="52"/>
    </row>
    <row r="14" spans="1:22">
      <c r="A14" t="s">
        <v>615</v>
      </c>
      <c r="B14" s="41">
        <f>SUM(B4:B12)</f>
        <v>1053251923.6144543</v>
      </c>
      <c r="C14" s="6">
        <f>SUM(C4:C12)</f>
        <v>104440</v>
      </c>
      <c r="D14" s="41">
        <f t="shared" si="1"/>
        <v>10084756.066779532</v>
      </c>
      <c r="E14" s="41">
        <f>SUM(E4:E12)</f>
        <v>130200000</v>
      </c>
      <c r="F14" s="41">
        <f t="shared" ref="F14:L14" si="18">SUM(F4:F12)</f>
        <v>277546574.86445427</v>
      </c>
      <c r="G14" s="41">
        <f t="shared" si="18"/>
        <v>111022528.75</v>
      </c>
      <c r="H14" s="41">
        <f t="shared" si="18"/>
        <v>245017750</v>
      </c>
      <c r="I14" s="41">
        <f t="shared" si="18"/>
        <v>72618720</v>
      </c>
      <c r="J14" s="41">
        <f t="shared" si="18"/>
        <v>91366750</v>
      </c>
      <c r="K14" s="41">
        <f t="shared" si="18"/>
        <v>121900000</v>
      </c>
      <c r="L14" s="41">
        <f t="shared" si="18"/>
        <v>3579600</v>
      </c>
      <c r="M14" s="42">
        <f t="shared" ref="M14" si="19">E14/$B14</f>
        <v>0.12361714902280119</v>
      </c>
      <c r="N14" s="42">
        <f t="shared" ref="N14" si="20">F14/$B14</f>
        <v>0.26351395012125411</v>
      </c>
      <c r="O14" s="42">
        <f t="shared" ref="O14" si="21">G14/$B14</f>
        <v>0.10540928173100599</v>
      </c>
      <c r="P14" s="42">
        <f t="shared" ref="P14" si="22">H14/$B14</f>
        <v>0.23262976739617083</v>
      </c>
      <c r="Q14" s="42">
        <f t="shared" ref="Q14" si="23">I14/$B14</f>
        <v>6.8947151552112687E-2</v>
      </c>
      <c r="R14" s="42">
        <f t="shared" ref="R14" si="24">J14/$B14</f>
        <v>8.674728994223517E-2</v>
      </c>
      <c r="S14" s="42">
        <f t="shared" ref="S14" si="25">K14/$B14</f>
        <v>0.11573679313271477</v>
      </c>
      <c r="T14" s="42">
        <f t="shared" ref="T14" si="26">L14/$B14</f>
        <v>3.3986171017052159E-3</v>
      </c>
    </row>
    <row r="26" spans="1:3">
      <c r="A26" t="s">
        <v>531</v>
      </c>
      <c r="B26" s="41">
        <v>130200000</v>
      </c>
      <c r="C26" s="53">
        <f>B26/B$14</f>
        <v>0.12361714902280119</v>
      </c>
    </row>
    <row r="27" spans="1:3">
      <c r="A27" t="s">
        <v>532</v>
      </c>
      <c r="B27" s="41">
        <v>277546574.86445427</v>
      </c>
      <c r="C27" s="53">
        <f t="shared" ref="C27:C33" si="27">B27/B$14</f>
        <v>0.26351395012125411</v>
      </c>
    </row>
    <row r="28" spans="1:3">
      <c r="A28" t="s">
        <v>533</v>
      </c>
      <c r="B28" s="41">
        <v>111022528.75</v>
      </c>
      <c r="C28" s="53">
        <f t="shared" si="27"/>
        <v>0.10540928173100599</v>
      </c>
    </row>
    <row r="29" spans="1:3">
      <c r="A29" t="s">
        <v>534</v>
      </c>
      <c r="B29" s="41">
        <v>245017750</v>
      </c>
      <c r="C29" s="53">
        <f t="shared" si="27"/>
        <v>0.23262976739617083</v>
      </c>
    </row>
    <row r="30" spans="1:3">
      <c r="A30" t="s">
        <v>535</v>
      </c>
      <c r="B30" s="41">
        <v>72618720</v>
      </c>
      <c r="C30" s="53">
        <f t="shared" si="27"/>
        <v>6.8947151552112687E-2</v>
      </c>
    </row>
    <row r="31" spans="1:3">
      <c r="A31" t="s">
        <v>536</v>
      </c>
      <c r="B31" s="41">
        <v>91366750</v>
      </c>
      <c r="C31" s="53">
        <f t="shared" si="27"/>
        <v>8.674728994223517E-2</v>
      </c>
    </row>
    <row r="32" spans="1:3">
      <c r="A32" t="s">
        <v>537</v>
      </c>
      <c r="B32" s="41">
        <v>121900000</v>
      </c>
      <c r="C32" s="53">
        <f t="shared" si="27"/>
        <v>0.11573679313271477</v>
      </c>
    </row>
    <row r="33" spans="1:3">
      <c r="A33" t="s">
        <v>538</v>
      </c>
      <c r="B33" s="41">
        <v>3579600</v>
      </c>
      <c r="C33" s="53">
        <f t="shared" si="27"/>
        <v>3.3986171017052159E-3</v>
      </c>
    </row>
    <row r="34" spans="1:3">
      <c r="B34"/>
    </row>
    <row r="35" spans="1:3">
      <c r="B35"/>
    </row>
    <row r="37" spans="1:3">
      <c r="A37" t="s">
        <v>616</v>
      </c>
      <c r="B37" s="41" t="s">
        <v>617</v>
      </c>
      <c r="C37" s="48" t="s">
        <v>618</v>
      </c>
    </row>
    <row r="38" spans="1:3">
      <c r="A38" t="s">
        <v>531</v>
      </c>
      <c r="B38" s="49">
        <f>B26/1000000</f>
        <v>130.19999999999999</v>
      </c>
      <c r="C38" s="50">
        <f>C26</f>
        <v>0.12361714902280119</v>
      </c>
    </row>
    <row r="39" spans="1:3">
      <c r="A39" t="s">
        <v>532</v>
      </c>
      <c r="B39" s="49">
        <f t="shared" ref="B39:B45" si="28">B27/1000000</f>
        <v>277.54657486445427</v>
      </c>
      <c r="C39" s="50">
        <f t="shared" ref="C39:C45" si="29">C27</f>
        <v>0.26351395012125411</v>
      </c>
    </row>
    <row r="40" spans="1:3">
      <c r="A40" t="s">
        <v>533</v>
      </c>
      <c r="B40" s="49">
        <f t="shared" si="28"/>
        <v>111.02252875000001</v>
      </c>
      <c r="C40" s="50">
        <f t="shared" si="29"/>
        <v>0.10540928173100599</v>
      </c>
    </row>
    <row r="41" spans="1:3">
      <c r="A41" t="s">
        <v>534</v>
      </c>
      <c r="B41" s="49">
        <f t="shared" si="28"/>
        <v>245.01775000000001</v>
      </c>
      <c r="C41" s="50">
        <f t="shared" si="29"/>
        <v>0.23262976739617083</v>
      </c>
    </row>
    <row r="42" spans="1:3">
      <c r="A42" t="s">
        <v>535</v>
      </c>
      <c r="B42" s="49">
        <f t="shared" si="28"/>
        <v>72.618719999999996</v>
      </c>
      <c r="C42" s="50">
        <f t="shared" si="29"/>
        <v>6.8947151552112687E-2</v>
      </c>
    </row>
    <row r="43" spans="1:3">
      <c r="A43" t="s">
        <v>536</v>
      </c>
      <c r="B43" s="49">
        <f t="shared" si="28"/>
        <v>91.366749999999996</v>
      </c>
      <c r="C43" s="50">
        <f t="shared" si="29"/>
        <v>8.674728994223517E-2</v>
      </c>
    </row>
    <row r="44" spans="1:3">
      <c r="A44" t="s">
        <v>537</v>
      </c>
      <c r="B44" s="49">
        <f t="shared" si="28"/>
        <v>121.9</v>
      </c>
      <c r="C44" s="50">
        <f t="shared" si="29"/>
        <v>0.11573679313271477</v>
      </c>
    </row>
    <row r="45" spans="1:3">
      <c r="A45" t="s">
        <v>538</v>
      </c>
      <c r="B45" s="49">
        <f t="shared" si="28"/>
        <v>3.5796000000000001</v>
      </c>
      <c r="C45" s="50">
        <f t="shared" si="29"/>
        <v>3.3986171017052159E-3</v>
      </c>
    </row>
    <row r="46" spans="1:3">
      <c r="A46" t="s">
        <v>615</v>
      </c>
      <c r="B46" s="54">
        <f>SUM(B26:B33)/1000000</f>
        <v>1053.2519236144542</v>
      </c>
      <c r="C46" s="50">
        <v>1</v>
      </c>
    </row>
    <row r="55" spans="2:5">
      <c r="C55" s="41"/>
    </row>
    <row r="56" spans="2:5">
      <c r="B56" s="49"/>
      <c r="C56" s="49"/>
      <c r="D56" s="49"/>
    </row>
    <row r="57" spans="2:5">
      <c r="B57" s="49"/>
      <c r="C57" s="49"/>
      <c r="D57" s="49"/>
    </row>
    <row r="58" spans="2:5">
      <c r="B58" s="49"/>
      <c r="C58" s="49"/>
      <c r="D58" s="49"/>
    </row>
    <row r="59" spans="2:5">
      <c r="B59" s="49"/>
      <c r="C59" s="49"/>
      <c r="D59" s="49"/>
      <c r="E59"/>
    </row>
    <row r="60" spans="2:5">
      <c r="B60" s="49"/>
      <c r="C60" s="49"/>
      <c r="D60" s="49"/>
      <c r="E60"/>
    </row>
    <row r="61" spans="2:5">
      <c r="B61" s="49"/>
      <c r="C61" s="49"/>
      <c r="D61" s="49"/>
      <c r="E61"/>
    </row>
    <row r="62" spans="2:5">
      <c r="B62" s="49"/>
      <c r="C62" s="49"/>
      <c r="D62" s="49"/>
      <c r="E62"/>
    </row>
    <row r="63" spans="2:5">
      <c r="B63" s="49"/>
      <c r="C63" s="49"/>
      <c r="D63" s="49"/>
      <c r="E63"/>
    </row>
    <row r="64" spans="2:5">
      <c r="B64" s="49"/>
      <c r="C64" s="49"/>
      <c r="D64" s="49"/>
      <c r="E64"/>
    </row>
    <row r="65" spans="2:5">
      <c r="B65" s="49"/>
      <c r="C65" s="49"/>
      <c r="D65" s="49"/>
      <c r="E65"/>
    </row>
  </sheetData>
  <sheetCalcPr fullCalcOnLoad="1"/>
  <phoneticPr fontId="8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H33"/>
  <sheetViews>
    <sheetView tabSelected="1" zoomScale="150" workbookViewId="0">
      <selection activeCell="B42" sqref="B42"/>
    </sheetView>
  </sheetViews>
  <sheetFormatPr baseColWidth="10" defaultRowHeight="13"/>
  <cols>
    <col min="1" max="1" width="22.42578125" bestFit="1" customWidth="1"/>
    <col min="2" max="2" width="21.7109375" bestFit="1" customWidth="1"/>
    <col min="4" max="4" width="13.28515625" bestFit="1" customWidth="1"/>
    <col min="8" max="8" width="13.7109375" style="40" bestFit="1" customWidth="1"/>
  </cols>
  <sheetData>
    <row r="2" spans="1:8">
      <c r="A2" t="s">
        <v>300</v>
      </c>
      <c r="B2" t="s">
        <v>301</v>
      </c>
      <c r="C2" t="s">
        <v>365</v>
      </c>
      <c r="D2" t="s">
        <v>366</v>
      </c>
    </row>
    <row r="3" spans="1:8">
      <c r="A3" t="s">
        <v>302</v>
      </c>
      <c r="B3" t="s">
        <v>303</v>
      </c>
      <c r="C3">
        <v>9.3000000000000007</v>
      </c>
      <c r="D3">
        <v>45000</v>
      </c>
    </row>
    <row r="4" spans="1:8">
      <c r="A4" t="s">
        <v>362</v>
      </c>
      <c r="B4" t="s">
        <v>360</v>
      </c>
      <c r="C4">
        <v>14.6</v>
      </c>
      <c r="D4">
        <v>75000</v>
      </c>
    </row>
    <row r="5" spans="1:8">
      <c r="A5" t="s">
        <v>363</v>
      </c>
      <c r="B5" t="s">
        <v>361</v>
      </c>
      <c r="C5">
        <v>7.7</v>
      </c>
      <c r="D5">
        <v>36000</v>
      </c>
    </row>
    <row r="6" spans="1:8">
      <c r="A6" t="s">
        <v>364</v>
      </c>
      <c r="B6" t="s">
        <v>361</v>
      </c>
      <c r="C6">
        <v>12.4</v>
      </c>
      <c r="D6">
        <v>62000</v>
      </c>
    </row>
    <row r="11" spans="1:8">
      <c r="A11" s="4" t="s">
        <v>388</v>
      </c>
      <c r="B11" t="s">
        <v>389</v>
      </c>
      <c r="C11" t="s">
        <v>390</v>
      </c>
      <c r="D11" t="s">
        <v>391</v>
      </c>
      <c r="E11" t="s">
        <v>367</v>
      </c>
      <c r="F11" t="s">
        <v>368</v>
      </c>
      <c r="G11" t="s">
        <v>394</v>
      </c>
      <c r="H11" s="40" t="s">
        <v>392</v>
      </c>
    </row>
    <row r="12" spans="1:8">
      <c r="A12" s="4"/>
    </row>
    <row r="13" spans="1:8">
      <c r="A13" t="s">
        <v>299</v>
      </c>
      <c r="B13" t="s">
        <v>54</v>
      </c>
      <c r="C13">
        <v>650</v>
      </c>
      <c r="D13">
        <f>C$6</f>
        <v>12.4</v>
      </c>
      <c r="E13">
        <f t="shared" ref="E13" si="0">D$6</f>
        <v>62000</v>
      </c>
      <c r="F13">
        <v>1</v>
      </c>
      <c r="G13">
        <f>C13*E13*F13</f>
        <v>40300000</v>
      </c>
      <c r="H13" s="40">
        <f>3.14159*(D13/2)^2*C13</f>
        <v>78495.76774000001</v>
      </c>
    </row>
    <row r="14" spans="1:8">
      <c r="A14" t="s">
        <v>263</v>
      </c>
      <c r="B14" t="s">
        <v>55</v>
      </c>
      <c r="C14">
        <v>1150</v>
      </c>
      <c r="D14">
        <f t="shared" ref="D14:E15" si="1">C$6</f>
        <v>12.4</v>
      </c>
      <c r="E14">
        <f t="shared" ref="E14" si="2">D$6</f>
        <v>62000</v>
      </c>
      <c r="F14">
        <v>1</v>
      </c>
      <c r="G14">
        <f>C14*E14*F14</f>
        <v>71300000</v>
      </c>
      <c r="H14" s="40">
        <f>3.14159*(D14/2)^2*C14</f>
        <v>138877.12754000002</v>
      </c>
    </row>
    <row r="15" spans="1:8">
      <c r="A15" t="s">
        <v>58</v>
      </c>
      <c r="B15" t="s">
        <v>59</v>
      </c>
      <c r="C15">
        <v>300</v>
      </c>
      <c r="D15">
        <f t="shared" si="1"/>
        <v>12.4</v>
      </c>
      <c r="E15">
        <f t="shared" si="1"/>
        <v>62000</v>
      </c>
      <c r="F15">
        <v>1</v>
      </c>
      <c r="G15">
        <f>C15*E15*F15</f>
        <v>18600000</v>
      </c>
      <c r="H15" s="40">
        <f>3.14159*(D15/2)^2*C15</f>
        <v>36228.815880000002</v>
      </c>
    </row>
    <row r="33" spans="1:1">
      <c r="A33" s="7"/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2"/>
  <sheetViews>
    <sheetView zoomScale="150" workbookViewId="0">
      <selection activeCell="A40" sqref="A40:XFD40"/>
    </sheetView>
  </sheetViews>
  <sheetFormatPr baseColWidth="10" defaultRowHeight="15"/>
  <cols>
    <col min="1" max="1" width="16.28515625" style="43" bestFit="1" customWidth="1"/>
    <col min="2" max="2" width="32.5703125" style="10" bestFit="1" customWidth="1"/>
    <col min="3" max="3" width="6.28515625" style="10" bestFit="1" customWidth="1"/>
    <col min="4" max="4" width="8.5703125" style="10" bestFit="1" customWidth="1"/>
    <col min="5" max="5" width="8.5703125" style="10" customWidth="1"/>
    <col min="6" max="6" width="12" style="10" bestFit="1" customWidth="1"/>
    <col min="7" max="8" width="10.7109375" style="15"/>
    <col min="9" max="16384" width="10.7109375" style="10"/>
  </cols>
  <sheetData>
    <row r="1" spans="1:9">
      <c r="A1" s="55" t="s">
        <v>323</v>
      </c>
      <c r="B1" s="9" t="s">
        <v>395</v>
      </c>
      <c r="C1" s="9" t="s">
        <v>396</v>
      </c>
      <c r="D1" s="9" t="s">
        <v>397</v>
      </c>
      <c r="E1" s="14"/>
      <c r="F1" s="14"/>
      <c r="G1" s="43" t="s">
        <v>385</v>
      </c>
      <c r="H1" s="43" t="s">
        <v>386</v>
      </c>
      <c r="I1" s="43"/>
    </row>
    <row r="2" spans="1:9">
      <c r="A2" s="56" t="s">
        <v>321</v>
      </c>
      <c r="B2" s="12" t="s">
        <v>450</v>
      </c>
      <c r="C2" s="11">
        <v>11725</v>
      </c>
      <c r="D2" s="11">
        <v>1.2E-2</v>
      </c>
      <c r="E2" s="11"/>
      <c r="G2" s="43">
        <v>1</v>
      </c>
      <c r="H2" s="43">
        <v>2.35</v>
      </c>
      <c r="I2" s="43"/>
    </row>
    <row r="3" spans="1:9">
      <c r="A3" s="56" t="s">
        <v>398</v>
      </c>
      <c r="B3" s="11" t="s">
        <v>399</v>
      </c>
      <c r="C3" s="11">
        <v>19541</v>
      </c>
      <c r="D3" s="11">
        <v>5.0000000000000001E-3</v>
      </c>
      <c r="E3" s="11"/>
      <c r="G3" s="43">
        <v>2</v>
      </c>
      <c r="H3" s="43">
        <v>1.67</v>
      </c>
      <c r="I3" s="43"/>
    </row>
    <row r="4" spans="1:9">
      <c r="A4" s="56" t="s">
        <v>400</v>
      </c>
      <c r="B4" s="11" t="s">
        <v>401</v>
      </c>
      <c r="C4" s="11">
        <v>25404</v>
      </c>
      <c r="D4" s="11">
        <v>3.8E-3</v>
      </c>
      <c r="E4" s="11"/>
      <c r="F4" s="11"/>
      <c r="G4" s="43">
        <v>3</v>
      </c>
      <c r="H4" s="43">
        <v>1.1499999999999999</v>
      </c>
      <c r="I4" s="43"/>
    </row>
    <row r="5" spans="1:9">
      <c r="A5" s="56" t="s">
        <v>402</v>
      </c>
      <c r="B5" s="11" t="s">
        <v>403</v>
      </c>
      <c r="C5" s="11">
        <v>27358</v>
      </c>
      <c r="D5" s="11">
        <v>3.2000000000000002E-3</v>
      </c>
      <c r="E5" s="11"/>
      <c r="F5" s="11"/>
      <c r="G5" s="43" t="s">
        <v>449</v>
      </c>
      <c r="H5" s="43">
        <v>1</v>
      </c>
      <c r="I5" s="43"/>
    </row>
    <row r="6" spans="1:9">
      <c r="A6" s="56" t="s">
        <v>404</v>
      </c>
      <c r="B6" s="11" t="s">
        <v>405</v>
      </c>
      <c r="C6" s="11">
        <v>29313</v>
      </c>
      <c r="D6" s="11">
        <v>2.7000000000000001E-3</v>
      </c>
      <c r="E6" s="11"/>
      <c r="F6" s="11"/>
      <c r="G6" s="43"/>
      <c r="H6" s="43"/>
      <c r="I6" s="43"/>
    </row>
    <row r="7" spans="1:9">
      <c r="A7" s="56" t="s">
        <v>406</v>
      </c>
      <c r="B7" s="11" t="s">
        <v>407</v>
      </c>
      <c r="C7" s="11">
        <v>42990</v>
      </c>
      <c r="D7" s="11">
        <v>1.1999999999999999E-3</v>
      </c>
      <c r="E7" s="11"/>
      <c r="F7" s="11"/>
      <c r="G7" s="43"/>
      <c r="H7" s="43"/>
      <c r="I7" s="43"/>
    </row>
    <row r="8" spans="1:9" ht="16" thickBot="1">
      <c r="A8" s="57" t="s">
        <v>408</v>
      </c>
      <c r="B8" s="13" t="s">
        <v>409</v>
      </c>
      <c r="C8" s="13">
        <v>58624</v>
      </c>
      <c r="D8" s="13">
        <v>6.9999999999999999E-4</v>
      </c>
      <c r="E8" s="11"/>
      <c r="F8" s="11"/>
      <c r="G8" s="43"/>
      <c r="H8" s="43"/>
      <c r="I8" s="43"/>
    </row>
    <row r="11" spans="1:9">
      <c r="A11" s="56" t="s">
        <v>383</v>
      </c>
      <c r="B11" s="10">
        <v>1250</v>
      </c>
      <c r="C11" s="10" t="s">
        <v>460</v>
      </c>
    </row>
    <row r="12" spans="1:9">
      <c r="A12" s="56" t="s">
        <v>384</v>
      </c>
      <c r="B12" s="10">
        <v>2500</v>
      </c>
      <c r="C12" s="10" t="s">
        <v>460</v>
      </c>
    </row>
    <row r="15" spans="1:9">
      <c r="A15" s="43" t="s">
        <v>324</v>
      </c>
      <c r="B15" s="10" t="s">
        <v>325</v>
      </c>
      <c r="C15" s="10" t="s">
        <v>328</v>
      </c>
      <c r="D15" s="10" t="s">
        <v>329</v>
      </c>
      <c r="E15" s="10" t="s">
        <v>199</v>
      </c>
      <c r="F15" s="10" t="s">
        <v>381</v>
      </c>
      <c r="G15" s="15" t="s">
        <v>197</v>
      </c>
      <c r="H15" s="15" t="s">
        <v>198</v>
      </c>
    </row>
    <row r="17" spans="1:8">
      <c r="A17" s="43" t="s">
        <v>326</v>
      </c>
      <c r="B17" s="10" t="s">
        <v>327</v>
      </c>
      <c r="C17" s="10">
        <v>2180</v>
      </c>
      <c r="D17" s="10">
        <v>40</v>
      </c>
      <c r="E17" s="10">
        <v>2</v>
      </c>
      <c r="F17" s="10">
        <v>1</v>
      </c>
      <c r="G17" s="15">
        <f>C2*EXP(D17*D2)</f>
        <v>18948.472365711677</v>
      </c>
      <c r="H17" s="15">
        <f>G17*E17*C17*F17</f>
        <v>82615339.514502913</v>
      </c>
    </row>
    <row r="18" spans="1:8">
      <c r="A18" s="43" t="s">
        <v>410</v>
      </c>
      <c r="B18" s="10" t="s">
        <v>264</v>
      </c>
      <c r="C18" s="10">
        <v>180</v>
      </c>
      <c r="D18" s="10">
        <v>90</v>
      </c>
      <c r="E18" s="10">
        <v>2</v>
      </c>
      <c r="F18" s="10">
        <v>1</v>
      </c>
      <c r="G18" s="15">
        <f>C3*EXP(D18*D3)</f>
        <v>30646.388416663391</v>
      </c>
      <c r="H18" s="15">
        <f t="shared" ref="H18:H42" si="0">G18*E18*C18*F18</f>
        <v>11032699.829998821</v>
      </c>
    </row>
    <row r="19" spans="1:8">
      <c r="A19" s="43" t="s">
        <v>410</v>
      </c>
      <c r="B19" s="10" t="s">
        <v>265</v>
      </c>
      <c r="C19" s="10">
        <v>1200</v>
      </c>
      <c r="D19" s="10">
        <v>40</v>
      </c>
      <c r="E19" s="10">
        <v>2</v>
      </c>
      <c r="F19" s="10">
        <v>1</v>
      </c>
      <c r="G19" s="15">
        <f>C2*EXP(D19*D2)</f>
        <v>18948.472365711677</v>
      </c>
      <c r="H19" s="15">
        <f t="shared" si="0"/>
        <v>45476333.677708022</v>
      </c>
    </row>
    <row r="20" spans="1:8">
      <c r="A20" s="43" t="s">
        <v>271</v>
      </c>
      <c r="B20" s="10" t="s">
        <v>272</v>
      </c>
      <c r="C20" s="10">
        <v>320</v>
      </c>
      <c r="D20" s="10">
        <v>40</v>
      </c>
      <c r="E20" s="10">
        <v>2</v>
      </c>
      <c r="F20" s="10">
        <v>1</v>
      </c>
      <c r="G20" s="15">
        <f>C2*EXP(D20*D2)</f>
        <v>18948.472365711677</v>
      </c>
      <c r="H20" s="15">
        <f t="shared" si="0"/>
        <v>12127022.314055473</v>
      </c>
    </row>
    <row r="21" spans="1:8">
      <c r="A21" s="43" t="s">
        <v>153</v>
      </c>
      <c r="B21" s="10" t="s">
        <v>154</v>
      </c>
      <c r="C21" s="10">
        <v>240</v>
      </c>
      <c r="D21" s="10">
        <v>40</v>
      </c>
      <c r="E21" s="10">
        <v>2</v>
      </c>
      <c r="F21" s="10">
        <v>1</v>
      </c>
      <c r="G21" s="15">
        <f>C2*EXP(D21*D2)</f>
        <v>18948.472365711677</v>
      </c>
      <c r="H21" s="15">
        <f t="shared" si="0"/>
        <v>9095266.7355416045</v>
      </c>
    </row>
    <row r="22" spans="1:8">
      <c r="A22" s="43" t="s">
        <v>285</v>
      </c>
      <c r="B22" s="10" t="s">
        <v>291</v>
      </c>
      <c r="C22" s="10">
        <v>220</v>
      </c>
      <c r="D22" s="10">
        <v>110</v>
      </c>
      <c r="E22" s="10">
        <v>2</v>
      </c>
      <c r="F22" s="10">
        <v>1</v>
      </c>
      <c r="G22" s="15">
        <f>C5*EXP(D22*D5)</f>
        <v>38900.573391892845</v>
      </c>
      <c r="H22" s="15">
        <f t="shared" si="0"/>
        <v>17116252.292432852</v>
      </c>
    </row>
    <row r="23" spans="1:8">
      <c r="A23" s="43" t="s">
        <v>285</v>
      </c>
      <c r="B23" s="10" t="s">
        <v>286</v>
      </c>
      <c r="C23" s="10">
        <f>8*27.5</f>
        <v>220</v>
      </c>
      <c r="D23" s="10">
        <v>27.5</v>
      </c>
      <c r="E23" s="10">
        <v>2</v>
      </c>
      <c r="F23" s="10">
        <v>1</v>
      </c>
      <c r="G23" s="15">
        <f>C2*EXP(D23*D2)</f>
        <v>16309.101306237824</v>
      </c>
      <c r="H23" s="15">
        <f t="shared" si="0"/>
        <v>7176004.5747446427</v>
      </c>
    </row>
    <row r="24" spans="1:8">
      <c r="A24" s="43" t="s">
        <v>290</v>
      </c>
      <c r="B24" s="10" t="s">
        <v>292</v>
      </c>
      <c r="C24" s="10">
        <v>110</v>
      </c>
      <c r="D24" s="10">
        <v>110</v>
      </c>
      <c r="E24" s="10">
        <v>2</v>
      </c>
      <c r="F24" s="10">
        <v>1</v>
      </c>
      <c r="G24" s="15">
        <f>C5*EXP(D24*D5)</f>
        <v>38900.573391892845</v>
      </c>
      <c r="H24" s="15">
        <f t="shared" si="0"/>
        <v>8558126.146216426</v>
      </c>
    </row>
    <row r="25" spans="1:8">
      <c r="A25" s="43" t="s">
        <v>293</v>
      </c>
      <c r="B25" s="10" t="s">
        <v>294</v>
      </c>
      <c r="C25" s="10">
        <v>210</v>
      </c>
      <c r="D25" s="10">
        <v>27.5</v>
      </c>
      <c r="E25" s="10">
        <v>2</v>
      </c>
      <c r="F25" s="10">
        <v>1</v>
      </c>
      <c r="G25" s="15">
        <f>C2*EXP(D25*D2)</f>
        <v>16309.101306237824</v>
      </c>
      <c r="H25" s="15">
        <f t="shared" si="0"/>
        <v>6849822.5486198859</v>
      </c>
    </row>
    <row r="26" spans="1:8">
      <c r="A26" s="43" t="s">
        <v>223</v>
      </c>
      <c r="B26" s="10" t="s">
        <v>224</v>
      </c>
      <c r="C26" s="10">
        <v>80</v>
      </c>
      <c r="D26" s="10">
        <v>80</v>
      </c>
      <c r="E26" s="10">
        <v>2</v>
      </c>
      <c r="F26" s="10">
        <v>1</v>
      </c>
      <c r="G26" s="15">
        <f>C3*EXP(D26*D3)</f>
        <v>29151.746416608064</v>
      </c>
      <c r="H26" s="15">
        <f t="shared" si="0"/>
        <v>4664279.4266572902</v>
      </c>
    </row>
    <row r="27" spans="1:8">
      <c r="A27" s="43" t="s">
        <v>223</v>
      </c>
      <c r="B27" s="10" t="s">
        <v>225</v>
      </c>
      <c r="C27" s="10">
        <v>150</v>
      </c>
      <c r="D27" s="10">
        <v>27.5</v>
      </c>
      <c r="E27" s="10">
        <v>2</v>
      </c>
      <c r="F27" s="10">
        <v>1</v>
      </c>
      <c r="G27" s="15">
        <f>C2*EXP(D27*D2)</f>
        <v>16309.101306237824</v>
      </c>
      <c r="H27" s="15">
        <f t="shared" si="0"/>
        <v>4892730.3918713471</v>
      </c>
    </row>
    <row r="28" spans="1:8">
      <c r="A28" s="43" t="s">
        <v>108</v>
      </c>
      <c r="B28" s="10" t="s">
        <v>249</v>
      </c>
      <c r="C28" s="10">
        <f>2*27.5</f>
        <v>55</v>
      </c>
      <c r="D28" s="10">
        <v>27.5</v>
      </c>
      <c r="E28" s="10">
        <v>2</v>
      </c>
      <c r="F28" s="10">
        <f>H3</f>
        <v>1.67</v>
      </c>
      <c r="G28" s="15">
        <f>C2*EXP(D28*D2)</f>
        <v>16309.101306237824</v>
      </c>
      <c r="H28" s="15">
        <f t="shared" si="0"/>
        <v>2995981.9099558881</v>
      </c>
    </row>
    <row r="29" spans="1:8">
      <c r="A29" s="43" t="s">
        <v>108</v>
      </c>
      <c r="B29" s="10" t="s">
        <v>250</v>
      </c>
      <c r="C29" s="10">
        <f>5*15</f>
        <v>75</v>
      </c>
      <c r="D29" s="10">
        <v>15</v>
      </c>
      <c r="E29" s="10">
        <v>2</v>
      </c>
      <c r="F29" s="10">
        <v>1</v>
      </c>
      <c r="G29" s="15">
        <f>C2*EXP(D29*D2)</f>
        <v>14037.373582603224</v>
      </c>
      <c r="H29" s="15">
        <f t="shared" si="0"/>
        <v>2105606.0373904835</v>
      </c>
    </row>
    <row r="30" spans="1:8">
      <c r="A30" s="43" t="s">
        <v>15</v>
      </c>
      <c r="B30" s="10" t="s">
        <v>382</v>
      </c>
      <c r="C30" s="10">
        <v>100</v>
      </c>
      <c r="D30" s="10" t="s">
        <v>16</v>
      </c>
      <c r="E30" s="10">
        <v>2</v>
      </c>
      <c r="F30" s="10">
        <v>1</v>
      </c>
      <c r="G30" s="15">
        <f>B12</f>
        <v>2500</v>
      </c>
      <c r="H30" s="15">
        <f t="shared" si="0"/>
        <v>500000</v>
      </c>
    </row>
    <row r="31" spans="1:8">
      <c r="A31" s="43" t="s">
        <v>379</v>
      </c>
      <c r="B31" s="10" t="s">
        <v>380</v>
      </c>
      <c r="C31" s="10">
        <v>40</v>
      </c>
      <c r="D31" s="10">
        <v>40</v>
      </c>
      <c r="E31" s="10">
        <v>2</v>
      </c>
      <c r="F31" s="10">
        <f>H2</f>
        <v>2.35</v>
      </c>
      <c r="G31" s="15">
        <f>C2*EXP(D31*D2)</f>
        <v>18948.472365711677</v>
      </c>
      <c r="H31" s="15">
        <f>G31*E31*C31*F31</f>
        <v>3562312.8047537953</v>
      </c>
    </row>
    <row r="32" spans="1:8">
      <c r="A32" s="43" t="s">
        <v>471</v>
      </c>
      <c r="B32" s="10" t="s">
        <v>469</v>
      </c>
      <c r="C32" s="10" t="s">
        <v>470</v>
      </c>
      <c r="D32" s="10" t="s">
        <v>470</v>
      </c>
      <c r="E32" s="10">
        <v>2</v>
      </c>
      <c r="F32" s="10">
        <v>2</v>
      </c>
      <c r="G32" s="15">
        <v>200000</v>
      </c>
      <c r="H32" s="15">
        <f>F32*G32</f>
        <v>400000</v>
      </c>
    </row>
    <row r="33" spans="1:8">
      <c r="A33" s="43" t="s">
        <v>472</v>
      </c>
      <c r="B33" s="10" t="s">
        <v>473</v>
      </c>
      <c r="C33" s="10">
        <v>50</v>
      </c>
      <c r="D33" s="10">
        <f>20</f>
        <v>20</v>
      </c>
      <c r="E33" s="10">
        <v>2</v>
      </c>
      <c r="F33" s="10">
        <f>H4</f>
        <v>1.1499999999999999</v>
      </c>
      <c r="G33" s="15">
        <f>C2*EXP(D33*D2)</f>
        <v>14905.39628751847</v>
      </c>
      <c r="H33" s="15">
        <f t="shared" si="0"/>
        <v>1714120.5730646239</v>
      </c>
    </row>
    <row r="34" spans="1:8">
      <c r="A34" s="43" t="s">
        <v>440</v>
      </c>
      <c r="B34" s="10" t="s">
        <v>439</v>
      </c>
      <c r="C34" s="10">
        <v>420</v>
      </c>
      <c r="D34" s="10">
        <v>30</v>
      </c>
      <c r="E34" s="10">
        <v>2</v>
      </c>
      <c r="F34" s="10">
        <v>1</v>
      </c>
      <c r="G34" s="15">
        <f>C2*EXP(D34*D2)</f>
        <v>16805.787385719988</v>
      </c>
      <c r="H34" s="15">
        <f t="shared" si="0"/>
        <v>14116861.40400479</v>
      </c>
    </row>
    <row r="35" spans="1:8">
      <c r="A35" s="43" t="s">
        <v>514</v>
      </c>
      <c r="B35" s="10" t="s">
        <v>515</v>
      </c>
      <c r="C35" s="10">
        <v>120</v>
      </c>
      <c r="D35" s="10">
        <v>40</v>
      </c>
      <c r="E35" s="10">
        <v>2</v>
      </c>
      <c r="F35" s="10">
        <f>H4</f>
        <v>1.1499999999999999</v>
      </c>
      <c r="G35" s="15">
        <f>C2*EXP(D35*D2)</f>
        <v>18948.472365711677</v>
      </c>
      <c r="H35" s="15">
        <f t="shared" si="0"/>
        <v>5229778.372936422</v>
      </c>
    </row>
    <row r="36" spans="1:8">
      <c r="A36" s="43" t="s">
        <v>514</v>
      </c>
      <c r="B36" s="10" t="s">
        <v>516</v>
      </c>
      <c r="C36" s="10">
        <v>360</v>
      </c>
      <c r="D36" s="10">
        <v>40</v>
      </c>
      <c r="E36" s="10">
        <v>2</v>
      </c>
      <c r="F36" s="10">
        <v>1</v>
      </c>
      <c r="G36" s="15">
        <f>C2*EXP(D36*D2)</f>
        <v>18948.472365711677</v>
      </c>
      <c r="H36" s="15">
        <f t="shared" si="0"/>
        <v>13642900.103312409</v>
      </c>
    </row>
    <row r="37" spans="1:8">
      <c r="A37" s="43" t="s">
        <v>514</v>
      </c>
      <c r="B37" s="10" t="s">
        <v>517</v>
      </c>
      <c r="C37" s="10">
        <v>60</v>
      </c>
      <c r="D37" s="10">
        <v>20</v>
      </c>
      <c r="E37" s="10">
        <v>2</v>
      </c>
      <c r="F37" s="10">
        <v>1.1499999999999999</v>
      </c>
      <c r="G37" s="15">
        <f>C2*EXP(D37*D2)</f>
        <v>14905.39628751847</v>
      </c>
      <c r="H37" s="15">
        <f t="shared" si="0"/>
        <v>2056944.6876775487</v>
      </c>
    </row>
    <row r="38" spans="1:8">
      <c r="A38" s="43" t="s">
        <v>606</v>
      </c>
      <c r="B38" s="10" t="s">
        <v>607</v>
      </c>
      <c r="C38" s="10">
        <v>60</v>
      </c>
      <c r="D38" s="10">
        <v>20</v>
      </c>
      <c r="E38" s="10">
        <v>2</v>
      </c>
      <c r="F38" s="10">
        <v>1.1499999999999999</v>
      </c>
      <c r="G38" s="15">
        <f>C2*EXP(D38*D2)</f>
        <v>14905.39628751847</v>
      </c>
      <c r="H38" s="15">
        <f t="shared" si="0"/>
        <v>2056944.6876775487</v>
      </c>
    </row>
    <row r="39" spans="1:8">
      <c r="A39" s="43" t="s">
        <v>563</v>
      </c>
      <c r="B39" s="10" t="s">
        <v>564</v>
      </c>
      <c r="C39" s="10">
        <v>550</v>
      </c>
      <c r="D39" s="10">
        <v>20</v>
      </c>
      <c r="E39" s="10">
        <v>2</v>
      </c>
      <c r="F39" s="10">
        <v>1</v>
      </c>
      <c r="G39" s="15">
        <f>C2*EXP(D39*D2)</f>
        <v>14905.39628751847</v>
      </c>
      <c r="H39" s="15">
        <f t="shared" si="0"/>
        <v>16395935.916270318</v>
      </c>
    </row>
    <row r="40" spans="1:8">
      <c r="A40" s="43" t="s">
        <v>577</v>
      </c>
      <c r="B40" s="10" t="s">
        <v>578</v>
      </c>
      <c r="C40" s="10">
        <v>60</v>
      </c>
      <c r="D40" s="10">
        <v>60</v>
      </c>
      <c r="E40" s="10">
        <v>2</v>
      </c>
      <c r="F40" s="10">
        <v>1</v>
      </c>
      <c r="G40" s="15">
        <f>C3*EXP(D40*D3)</f>
        <v>26377.590958842677</v>
      </c>
      <c r="H40" s="15">
        <f t="shared" si="0"/>
        <v>3165310.9150611213</v>
      </c>
    </row>
    <row r="41" spans="1:8">
      <c r="H41" s="15">
        <f t="shared" si="0"/>
        <v>0</v>
      </c>
    </row>
    <row r="42" spans="1:8">
      <c r="H42" s="15">
        <f t="shared" si="0"/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89"/>
  <sheetViews>
    <sheetView zoomScale="150" workbookViewId="0">
      <pane xSplit="1" ySplit="8" topLeftCell="H37" activePane="bottomRight" state="frozen"/>
      <selection pane="topRight" activeCell="B1" sqref="B1"/>
      <selection pane="bottomLeft" activeCell="A9" sqref="A9"/>
      <selection pane="bottomRight" activeCell="A79" sqref="A79:XFD79"/>
    </sheetView>
  </sheetViews>
  <sheetFormatPr baseColWidth="10" defaultRowHeight="13"/>
  <cols>
    <col min="1" max="1" width="20.7109375" bestFit="1" customWidth="1"/>
    <col min="3" max="3" width="14.28515625" bestFit="1" customWidth="1"/>
    <col min="5" max="5" width="11.5703125" bestFit="1" customWidth="1"/>
    <col min="6" max="6" width="12.5703125" bestFit="1" customWidth="1"/>
    <col min="7" max="7" width="10.42578125" bestFit="1" customWidth="1"/>
    <col min="8" max="8" width="11.28515625" style="6" bestFit="1" customWidth="1"/>
    <col min="9" max="9" width="7" bestFit="1" customWidth="1"/>
    <col min="10" max="10" width="9.85546875" style="44" bestFit="1" customWidth="1"/>
  </cols>
  <sheetData>
    <row r="1" spans="1:11">
      <c r="A1" t="s">
        <v>98</v>
      </c>
      <c r="B1">
        <v>31</v>
      </c>
      <c r="E1" t="s">
        <v>99</v>
      </c>
    </row>
    <row r="2" spans="1:11">
      <c r="A2" t="s">
        <v>97</v>
      </c>
      <c r="B2">
        <v>14</v>
      </c>
      <c r="E2" t="s">
        <v>99</v>
      </c>
    </row>
    <row r="3" spans="1:11">
      <c r="A3" t="s">
        <v>247</v>
      </c>
      <c r="B3">
        <v>16</v>
      </c>
      <c r="E3" t="s">
        <v>99</v>
      </c>
    </row>
    <row r="4" spans="1:11">
      <c r="A4" t="s">
        <v>350</v>
      </c>
      <c r="B4">
        <v>15</v>
      </c>
      <c r="E4" t="s">
        <v>351</v>
      </c>
      <c r="K4" t="s">
        <v>157</v>
      </c>
    </row>
    <row r="5" spans="1:11">
      <c r="K5" t="s">
        <v>158</v>
      </c>
    </row>
    <row r="7" spans="1:11">
      <c r="A7" t="s">
        <v>93</v>
      </c>
      <c r="B7" t="s">
        <v>101</v>
      </c>
      <c r="C7" t="s">
        <v>275</v>
      </c>
      <c r="D7" t="s">
        <v>145</v>
      </c>
      <c r="E7" t="s">
        <v>94</v>
      </c>
      <c r="F7" t="s">
        <v>200</v>
      </c>
      <c r="G7" t="s">
        <v>348</v>
      </c>
      <c r="H7" s="6" t="s">
        <v>349</v>
      </c>
      <c r="I7" t="s">
        <v>95</v>
      </c>
      <c r="J7" s="44" t="s">
        <v>96</v>
      </c>
      <c r="K7" t="s">
        <v>274</v>
      </c>
    </row>
    <row r="8" spans="1:11">
      <c r="D8" t="s">
        <v>146</v>
      </c>
      <c r="K8">
        <f>SUM(K9:K99)</f>
        <v>-52735</v>
      </c>
    </row>
    <row r="9" spans="1:11">
      <c r="A9" t="s">
        <v>268</v>
      </c>
      <c r="B9">
        <v>850</v>
      </c>
      <c r="C9" t="s">
        <v>278</v>
      </c>
      <c r="D9">
        <v>0</v>
      </c>
      <c r="E9">
        <v>2</v>
      </c>
      <c r="F9">
        <v>12</v>
      </c>
      <c r="G9">
        <v>1.5</v>
      </c>
      <c r="H9" s="6">
        <f>F9*E9+(G9*E9^2)</f>
        <v>30</v>
      </c>
      <c r="I9">
        <f t="shared" ref="I9:I43" si="0">H9*B9</f>
        <v>25500</v>
      </c>
      <c r="J9" s="44">
        <f>I9*B4</f>
        <v>382500</v>
      </c>
      <c r="K9">
        <f>I9*D9</f>
        <v>0</v>
      </c>
    </row>
    <row r="10" spans="1:11">
      <c r="A10" t="s">
        <v>358</v>
      </c>
      <c r="B10">
        <v>400</v>
      </c>
      <c r="C10" t="s">
        <v>239</v>
      </c>
      <c r="D10">
        <v>1</v>
      </c>
      <c r="E10">
        <v>4</v>
      </c>
      <c r="F10">
        <v>12</v>
      </c>
      <c r="G10">
        <v>1.5</v>
      </c>
      <c r="H10" s="6">
        <f t="shared" ref="H10:H74" si="1">F10*E10+(G10*E10^2)</f>
        <v>72</v>
      </c>
      <c r="I10">
        <f t="shared" si="0"/>
        <v>28800</v>
      </c>
      <c r="J10" s="44">
        <f>I10*B2</f>
        <v>403200</v>
      </c>
      <c r="K10">
        <f t="shared" ref="K10:K75" si="2">I10*D10</f>
        <v>28800</v>
      </c>
    </row>
    <row r="11" spans="1:11">
      <c r="A11" t="s">
        <v>273</v>
      </c>
      <c r="B11">
        <v>160</v>
      </c>
      <c r="C11" t="s">
        <v>277</v>
      </c>
      <c r="D11">
        <v>-1</v>
      </c>
      <c r="E11">
        <v>5</v>
      </c>
      <c r="F11">
        <v>12</v>
      </c>
      <c r="G11">
        <v>1.5</v>
      </c>
      <c r="H11" s="6">
        <f t="shared" si="1"/>
        <v>97.5</v>
      </c>
      <c r="I11">
        <f t="shared" si="0"/>
        <v>15600</v>
      </c>
      <c r="J11" s="44">
        <f>I11*B3</f>
        <v>249600</v>
      </c>
      <c r="K11">
        <f t="shared" si="2"/>
        <v>-15600</v>
      </c>
    </row>
    <row r="12" spans="1:11">
      <c r="A12" t="s">
        <v>284</v>
      </c>
      <c r="B12">
        <v>290</v>
      </c>
      <c r="C12" t="s">
        <v>144</v>
      </c>
      <c r="D12">
        <v>1</v>
      </c>
      <c r="E12">
        <v>4</v>
      </c>
      <c r="F12">
        <v>12</v>
      </c>
      <c r="G12">
        <v>1.5</v>
      </c>
      <c r="H12" s="6">
        <f t="shared" si="1"/>
        <v>72</v>
      </c>
      <c r="I12">
        <f t="shared" si="0"/>
        <v>20880</v>
      </c>
      <c r="J12" s="44">
        <f>I12*B2</f>
        <v>292320</v>
      </c>
      <c r="K12">
        <f t="shared" si="2"/>
        <v>20880</v>
      </c>
    </row>
    <row r="13" spans="1:11">
      <c r="A13" t="s">
        <v>284</v>
      </c>
      <c r="B13">
        <v>260</v>
      </c>
      <c r="C13" t="s">
        <v>277</v>
      </c>
      <c r="D13">
        <v>-1</v>
      </c>
      <c r="E13">
        <v>6</v>
      </c>
      <c r="F13">
        <v>12</v>
      </c>
      <c r="G13">
        <v>1.5</v>
      </c>
      <c r="H13" s="6">
        <f t="shared" si="1"/>
        <v>126</v>
      </c>
      <c r="I13">
        <f t="shared" si="0"/>
        <v>32760</v>
      </c>
      <c r="J13" s="44">
        <f>I13*B3</f>
        <v>524160</v>
      </c>
      <c r="K13">
        <f t="shared" si="2"/>
        <v>-32760</v>
      </c>
    </row>
    <row r="14" spans="1:11">
      <c r="A14" t="s">
        <v>284</v>
      </c>
      <c r="B14">
        <v>570</v>
      </c>
      <c r="C14" t="s">
        <v>143</v>
      </c>
      <c r="D14">
        <v>1</v>
      </c>
      <c r="E14">
        <v>6</v>
      </c>
      <c r="F14">
        <v>12</v>
      </c>
      <c r="G14">
        <v>1</v>
      </c>
      <c r="H14" s="6">
        <f t="shared" si="1"/>
        <v>108</v>
      </c>
      <c r="I14">
        <f t="shared" si="0"/>
        <v>61560</v>
      </c>
      <c r="J14" s="44">
        <f>I14*B1</f>
        <v>1908360</v>
      </c>
      <c r="K14">
        <f t="shared" si="2"/>
        <v>61560</v>
      </c>
    </row>
    <row r="15" spans="1:11">
      <c r="A15" t="s">
        <v>284</v>
      </c>
      <c r="B15">
        <v>260</v>
      </c>
      <c r="C15" t="s">
        <v>277</v>
      </c>
      <c r="D15">
        <v>-1</v>
      </c>
      <c r="E15">
        <v>4</v>
      </c>
      <c r="F15">
        <v>12</v>
      </c>
      <c r="G15">
        <v>1.5</v>
      </c>
      <c r="H15" s="6">
        <f t="shared" si="1"/>
        <v>72</v>
      </c>
      <c r="I15">
        <f t="shared" si="0"/>
        <v>18720</v>
      </c>
      <c r="J15" s="44">
        <f>I15*B3</f>
        <v>299520</v>
      </c>
      <c r="K15">
        <f t="shared" si="2"/>
        <v>-18720</v>
      </c>
    </row>
    <row r="16" spans="1:11">
      <c r="A16" t="s">
        <v>284</v>
      </c>
      <c r="B16">
        <v>200</v>
      </c>
      <c r="C16" t="s">
        <v>144</v>
      </c>
      <c r="D16">
        <v>1</v>
      </c>
      <c r="E16">
        <v>3</v>
      </c>
      <c r="F16">
        <v>12</v>
      </c>
      <c r="G16">
        <v>1.5</v>
      </c>
      <c r="H16" s="6">
        <f t="shared" si="1"/>
        <v>49.5</v>
      </c>
      <c r="I16">
        <f t="shared" si="0"/>
        <v>9900</v>
      </c>
      <c r="J16" s="44">
        <f>I16*B2</f>
        <v>138600</v>
      </c>
      <c r="K16">
        <f t="shared" si="2"/>
        <v>9900</v>
      </c>
    </row>
    <row r="17" spans="1:11">
      <c r="A17" t="s">
        <v>284</v>
      </c>
      <c r="B17">
        <v>180</v>
      </c>
      <c r="C17" t="s">
        <v>277</v>
      </c>
      <c r="D17">
        <v>-1</v>
      </c>
      <c r="E17">
        <v>2.5</v>
      </c>
      <c r="F17">
        <v>12</v>
      </c>
      <c r="G17">
        <v>1.5</v>
      </c>
      <c r="H17" s="6">
        <f t="shared" si="1"/>
        <v>39.375</v>
      </c>
      <c r="I17">
        <f t="shared" si="0"/>
        <v>7087.5</v>
      </c>
      <c r="J17" s="44">
        <f>I17*B3</f>
        <v>113400</v>
      </c>
      <c r="K17">
        <f t="shared" si="2"/>
        <v>-7087.5</v>
      </c>
    </row>
    <row r="18" spans="1:11">
      <c r="A18" t="s">
        <v>155</v>
      </c>
      <c r="B18">
        <v>200</v>
      </c>
      <c r="C18" t="s">
        <v>277</v>
      </c>
      <c r="D18">
        <v>-1</v>
      </c>
      <c r="E18">
        <v>5</v>
      </c>
      <c r="F18">
        <v>12</v>
      </c>
      <c r="G18">
        <v>1.5</v>
      </c>
      <c r="H18" s="6">
        <f t="shared" si="1"/>
        <v>97.5</v>
      </c>
      <c r="I18">
        <f t="shared" si="0"/>
        <v>19500</v>
      </c>
      <c r="J18" s="44">
        <f>I18*B3</f>
        <v>312000</v>
      </c>
      <c r="K18">
        <f t="shared" si="2"/>
        <v>-19500</v>
      </c>
    </row>
    <row r="19" spans="1:11">
      <c r="A19" t="s">
        <v>153</v>
      </c>
      <c r="B19">
        <v>170</v>
      </c>
      <c r="C19" t="s">
        <v>156</v>
      </c>
      <c r="D19">
        <v>0</v>
      </c>
      <c r="E19">
        <v>2.5</v>
      </c>
      <c r="F19">
        <v>12</v>
      </c>
      <c r="G19">
        <v>1.5</v>
      </c>
      <c r="H19" s="6">
        <f t="shared" si="1"/>
        <v>39.375</v>
      </c>
      <c r="I19">
        <f t="shared" si="0"/>
        <v>6693.75</v>
      </c>
      <c r="J19" s="44">
        <f>I19*B4</f>
        <v>100406.25</v>
      </c>
      <c r="K19">
        <f t="shared" si="2"/>
        <v>0</v>
      </c>
    </row>
    <row r="20" spans="1:11">
      <c r="A20" t="s">
        <v>169</v>
      </c>
      <c r="B20">
        <v>100</v>
      </c>
      <c r="C20" t="s">
        <v>306</v>
      </c>
      <c r="D20">
        <v>1</v>
      </c>
      <c r="E20">
        <v>3</v>
      </c>
      <c r="F20">
        <v>6</v>
      </c>
      <c r="G20">
        <v>1</v>
      </c>
      <c r="H20" s="6">
        <f>F20*E20</f>
        <v>18</v>
      </c>
      <c r="I20">
        <f t="shared" si="0"/>
        <v>1800</v>
      </c>
      <c r="J20" s="44">
        <f>I20*B$1</f>
        <v>55800</v>
      </c>
      <c r="K20">
        <f t="shared" si="2"/>
        <v>1800</v>
      </c>
    </row>
    <row r="21" spans="1:11">
      <c r="A21" t="s">
        <v>305</v>
      </c>
      <c r="B21">
        <v>70</v>
      </c>
      <c r="C21" t="s">
        <v>276</v>
      </c>
      <c r="D21">
        <v>1</v>
      </c>
      <c r="E21">
        <v>5</v>
      </c>
      <c r="F21">
        <v>12</v>
      </c>
      <c r="G21">
        <v>1</v>
      </c>
      <c r="H21" s="6">
        <f t="shared" si="1"/>
        <v>85</v>
      </c>
      <c r="I21">
        <f t="shared" si="0"/>
        <v>5950</v>
      </c>
      <c r="J21" s="44">
        <f>I21*B$1</f>
        <v>184450</v>
      </c>
      <c r="K21">
        <f t="shared" si="2"/>
        <v>5950</v>
      </c>
    </row>
    <row r="22" spans="1:11">
      <c r="A22" t="s">
        <v>240</v>
      </c>
      <c r="B22">
        <v>50</v>
      </c>
      <c r="C22" t="s">
        <v>276</v>
      </c>
      <c r="D22">
        <v>1</v>
      </c>
      <c r="E22">
        <v>3</v>
      </c>
      <c r="F22">
        <v>12</v>
      </c>
      <c r="G22">
        <v>1</v>
      </c>
      <c r="H22" s="6">
        <f t="shared" si="1"/>
        <v>45</v>
      </c>
      <c r="I22">
        <f t="shared" si="0"/>
        <v>2250</v>
      </c>
      <c r="J22" s="44">
        <f>I22*B$1</f>
        <v>69750</v>
      </c>
      <c r="K22">
        <f t="shared" si="2"/>
        <v>2250</v>
      </c>
    </row>
    <row r="23" spans="1:11">
      <c r="A23" t="s">
        <v>369</v>
      </c>
      <c r="B23">
        <v>100</v>
      </c>
      <c r="C23" t="s">
        <v>276</v>
      </c>
      <c r="D23">
        <v>1</v>
      </c>
      <c r="E23">
        <v>7</v>
      </c>
      <c r="F23">
        <v>12</v>
      </c>
      <c r="G23">
        <v>1</v>
      </c>
      <c r="H23" s="6">
        <f t="shared" si="1"/>
        <v>133</v>
      </c>
      <c r="I23">
        <f t="shared" si="0"/>
        <v>13300</v>
      </c>
      <c r="J23" s="44">
        <f>I23*B$1</f>
        <v>412300</v>
      </c>
      <c r="K23">
        <f t="shared" si="2"/>
        <v>13300</v>
      </c>
    </row>
    <row r="24" spans="1:11">
      <c r="A24" t="s">
        <v>373</v>
      </c>
      <c r="B24">
        <v>400</v>
      </c>
      <c r="C24" t="s">
        <v>277</v>
      </c>
      <c r="D24">
        <v>-1</v>
      </c>
      <c r="E24">
        <v>5</v>
      </c>
      <c r="F24">
        <v>12</v>
      </c>
      <c r="G24">
        <v>1.5</v>
      </c>
      <c r="H24" s="6">
        <f t="shared" si="1"/>
        <v>97.5</v>
      </c>
      <c r="I24">
        <f t="shared" si="0"/>
        <v>39000</v>
      </c>
      <c r="J24" s="44">
        <f>I24*B$3</f>
        <v>624000</v>
      </c>
      <c r="K24">
        <f t="shared" si="2"/>
        <v>-39000</v>
      </c>
    </row>
    <row r="25" spans="1:11">
      <c r="A25" t="s">
        <v>217</v>
      </c>
      <c r="B25">
        <v>200</v>
      </c>
      <c r="C25" t="s">
        <v>218</v>
      </c>
      <c r="D25">
        <v>1</v>
      </c>
      <c r="E25">
        <v>5</v>
      </c>
      <c r="F25">
        <v>12</v>
      </c>
      <c r="G25">
        <v>1</v>
      </c>
      <c r="H25" s="6">
        <f t="shared" si="1"/>
        <v>85</v>
      </c>
      <c r="I25">
        <f t="shared" si="0"/>
        <v>17000</v>
      </c>
      <c r="J25" s="44">
        <f>I25*B$1</f>
        <v>527000</v>
      </c>
      <c r="K25">
        <f t="shared" si="2"/>
        <v>17000</v>
      </c>
    </row>
    <row r="26" spans="1:11">
      <c r="A26" t="s">
        <v>227</v>
      </c>
      <c r="B26">
        <v>200</v>
      </c>
      <c r="C26" t="s">
        <v>277</v>
      </c>
      <c r="D26">
        <v>-1</v>
      </c>
      <c r="E26">
        <v>10</v>
      </c>
      <c r="F26">
        <v>12</v>
      </c>
      <c r="G26">
        <v>1.5</v>
      </c>
      <c r="H26" s="6">
        <f t="shared" si="1"/>
        <v>270</v>
      </c>
      <c r="I26">
        <f t="shared" si="0"/>
        <v>54000</v>
      </c>
      <c r="J26" s="44">
        <f>I26*B$3</f>
        <v>864000</v>
      </c>
      <c r="K26">
        <f t="shared" si="2"/>
        <v>-54000</v>
      </c>
    </row>
    <row r="27" spans="1:11">
      <c r="A27" t="s">
        <v>227</v>
      </c>
      <c r="B27">
        <v>1550</v>
      </c>
      <c r="C27" t="s">
        <v>218</v>
      </c>
      <c r="D27">
        <v>1</v>
      </c>
      <c r="E27">
        <v>12.5</v>
      </c>
      <c r="F27">
        <v>12</v>
      </c>
      <c r="G27">
        <v>1</v>
      </c>
      <c r="H27" s="6">
        <f t="shared" si="1"/>
        <v>306.25</v>
      </c>
      <c r="I27">
        <f t="shared" si="0"/>
        <v>474687.5</v>
      </c>
      <c r="J27" s="44">
        <f>I27*B$1</f>
        <v>14715312.5</v>
      </c>
      <c r="K27">
        <f t="shared" si="2"/>
        <v>474687.5</v>
      </c>
    </row>
    <row r="28" spans="1:11">
      <c r="A28" t="s">
        <v>231</v>
      </c>
      <c r="B28">
        <v>930</v>
      </c>
      <c r="C28" t="s">
        <v>277</v>
      </c>
      <c r="D28">
        <v>-1</v>
      </c>
      <c r="E28">
        <v>6</v>
      </c>
      <c r="F28">
        <v>12</v>
      </c>
      <c r="G28">
        <v>1.5</v>
      </c>
      <c r="H28" s="6">
        <f t="shared" si="1"/>
        <v>126</v>
      </c>
      <c r="I28">
        <f t="shared" si="0"/>
        <v>117180</v>
      </c>
      <c r="J28" s="44">
        <f>I28*B$3</f>
        <v>1874880</v>
      </c>
      <c r="K28">
        <f t="shared" si="2"/>
        <v>-117180</v>
      </c>
    </row>
    <row r="29" spans="1:11">
      <c r="A29" t="s">
        <v>234</v>
      </c>
      <c r="B29">
        <v>360</v>
      </c>
      <c r="C29" t="s">
        <v>235</v>
      </c>
      <c r="D29">
        <v>1</v>
      </c>
      <c r="E29">
        <v>2</v>
      </c>
      <c r="F29">
        <v>6</v>
      </c>
      <c r="G29">
        <v>1</v>
      </c>
      <c r="H29" s="6">
        <f>F29*E29</f>
        <v>12</v>
      </c>
      <c r="I29">
        <f t="shared" si="0"/>
        <v>4320</v>
      </c>
      <c r="J29" s="44">
        <f>I29*B$1</f>
        <v>133920</v>
      </c>
      <c r="K29">
        <f t="shared" si="2"/>
        <v>4320</v>
      </c>
    </row>
    <row r="30" spans="1:11">
      <c r="A30" t="s">
        <v>108</v>
      </c>
      <c r="B30">
        <v>300</v>
      </c>
      <c r="C30" t="s">
        <v>235</v>
      </c>
      <c r="D30">
        <v>1</v>
      </c>
      <c r="E30">
        <v>4</v>
      </c>
      <c r="F30">
        <v>6</v>
      </c>
      <c r="G30">
        <v>1</v>
      </c>
      <c r="H30" s="6">
        <f>F30*E30</f>
        <v>24</v>
      </c>
      <c r="I30">
        <f t="shared" si="0"/>
        <v>7200</v>
      </c>
      <c r="J30" s="44">
        <f>I30*B$1</f>
        <v>223200</v>
      </c>
      <c r="K30">
        <f t="shared" si="2"/>
        <v>7200</v>
      </c>
    </row>
    <row r="31" spans="1:11">
      <c r="A31" t="s">
        <v>255</v>
      </c>
      <c r="B31">
        <v>300</v>
      </c>
      <c r="C31" t="s">
        <v>235</v>
      </c>
      <c r="D31">
        <v>1</v>
      </c>
      <c r="E31">
        <v>4</v>
      </c>
      <c r="F31">
        <v>6</v>
      </c>
      <c r="G31">
        <v>1</v>
      </c>
      <c r="H31" s="6">
        <f>F31*E31</f>
        <v>24</v>
      </c>
      <c r="I31">
        <f t="shared" si="0"/>
        <v>7200</v>
      </c>
      <c r="J31" s="44">
        <f>I31*B$1</f>
        <v>223200</v>
      </c>
      <c r="K31">
        <f t="shared" si="2"/>
        <v>7200</v>
      </c>
    </row>
    <row r="32" spans="1:11">
      <c r="A32" t="s">
        <v>255</v>
      </c>
      <c r="B32">
        <v>1100</v>
      </c>
      <c r="C32" t="s">
        <v>256</v>
      </c>
      <c r="D32">
        <v>-1</v>
      </c>
      <c r="E32">
        <v>3</v>
      </c>
      <c r="F32">
        <v>6</v>
      </c>
      <c r="G32">
        <v>1</v>
      </c>
      <c r="H32" s="6">
        <f>F32*E32</f>
        <v>18</v>
      </c>
      <c r="I32">
        <f t="shared" si="0"/>
        <v>19800</v>
      </c>
      <c r="J32" s="44">
        <f>I32*B$3</f>
        <v>316800</v>
      </c>
      <c r="K32">
        <f t="shared" si="2"/>
        <v>-19800</v>
      </c>
    </row>
    <row r="33" spans="1:11">
      <c r="A33" t="s">
        <v>124</v>
      </c>
      <c r="B33">
        <v>600</v>
      </c>
      <c r="C33" t="s">
        <v>143</v>
      </c>
      <c r="D33">
        <v>1</v>
      </c>
      <c r="E33">
        <v>5</v>
      </c>
      <c r="F33">
        <v>12</v>
      </c>
      <c r="G33">
        <v>1</v>
      </c>
      <c r="H33" s="6">
        <f t="shared" si="1"/>
        <v>85</v>
      </c>
      <c r="I33">
        <f t="shared" si="0"/>
        <v>51000</v>
      </c>
      <c r="J33" s="44">
        <f>I33*B$1</f>
        <v>1581000</v>
      </c>
      <c r="K33">
        <f t="shared" si="2"/>
        <v>51000</v>
      </c>
    </row>
    <row r="34" spans="1:11">
      <c r="A34" t="s">
        <v>124</v>
      </c>
      <c r="B34">
        <v>300</v>
      </c>
      <c r="C34" t="s">
        <v>143</v>
      </c>
      <c r="D34">
        <v>1</v>
      </c>
      <c r="E34">
        <v>10</v>
      </c>
      <c r="F34">
        <v>12</v>
      </c>
      <c r="G34">
        <v>1</v>
      </c>
      <c r="H34" s="6">
        <f t="shared" si="1"/>
        <v>220</v>
      </c>
      <c r="I34">
        <f t="shared" si="0"/>
        <v>66000</v>
      </c>
      <c r="J34" s="44">
        <f>I34*B$1</f>
        <v>2046000</v>
      </c>
      <c r="K34">
        <f t="shared" si="2"/>
        <v>66000</v>
      </c>
    </row>
    <row r="35" spans="1:11">
      <c r="A35" t="s">
        <v>124</v>
      </c>
      <c r="B35">
        <v>780</v>
      </c>
      <c r="C35" t="s">
        <v>143</v>
      </c>
      <c r="D35">
        <v>1</v>
      </c>
      <c r="E35">
        <v>10</v>
      </c>
      <c r="F35">
        <v>12</v>
      </c>
      <c r="G35">
        <v>1</v>
      </c>
      <c r="H35" s="6">
        <f t="shared" si="1"/>
        <v>220</v>
      </c>
      <c r="I35">
        <f t="shared" si="0"/>
        <v>171600</v>
      </c>
      <c r="J35" s="44">
        <f>I35*B$1</f>
        <v>5319600</v>
      </c>
      <c r="K35">
        <f t="shared" si="2"/>
        <v>171600</v>
      </c>
    </row>
    <row r="36" spans="1:11">
      <c r="A36" t="s">
        <v>127</v>
      </c>
      <c r="B36">
        <v>500</v>
      </c>
      <c r="C36" t="s">
        <v>256</v>
      </c>
      <c r="D36">
        <v>-1</v>
      </c>
      <c r="E36">
        <v>5</v>
      </c>
      <c r="F36">
        <v>6</v>
      </c>
      <c r="G36">
        <v>1.5</v>
      </c>
      <c r="H36" s="6">
        <f>F36*E36</f>
        <v>30</v>
      </c>
      <c r="I36">
        <f t="shared" si="0"/>
        <v>15000</v>
      </c>
      <c r="J36" s="44">
        <f>I36*B$3</f>
        <v>240000</v>
      </c>
      <c r="K36">
        <f t="shared" si="2"/>
        <v>-15000</v>
      </c>
    </row>
    <row r="37" spans="1:11">
      <c r="A37" t="s">
        <v>128</v>
      </c>
      <c r="B37">
        <v>700</v>
      </c>
      <c r="C37" t="s">
        <v>129</v>
      </c>
      <c r="D37">
        <v>-1</v>
      </c>
      <c r="E37">
        <v>7.5</v>
      </c>
      <c r="F37">
        <v>12</v>
      </c>
      <c r="G37">
        <v>1.5</v>
      </c>
      <c r="H37" s="6">
        <f t="shared" si="1"/>
        <v>174.375</v>
      </c>
      <c r="I37">
        <f t="shared" si="0"/>
        <v>122062.5</v>
      </c>
      <c r="J37" s="44">
        <f>I37*B$3</f>
        <v>1953000</v>
      </c>
      <c r="K37">
        <f t="shared" si="2"/>
        <v>-122062.5</v>
      </c>
    </row>
    <row r="38" spans="1:11">
      <c r="A38" t="s">
        <v>130</v>
      </c>
      <c r="B38">
        <v>490</v>
      </c>
      <c r="C38" t="s">
        <v>256</v>
      </c>
      <c r="D38">
        <v>-1</v>
      </c>
      <c r="E38">
        <v>3</v>
      </c>
      <c r="F38">
        <v>6</v>
      </c>
      <c r="G38">
        <v>1.5</v>
      </c>
      <c r="H38" s="6">
        <f>F38*E38</f>
        <v>18</v>
      </c>
      <c r="I38">
        <f t="shared" si="0"/>
        <v>8820</v>
      </c>
      <c r="J38" s="44">
        <f>I38*B$3</f>
        <v>141120</v>
      </c>
      <c r="K38">
        <f t="shared" si="2"/>
        <v>-8820</v>
      </c>
    </row>
    <row r="39" spans="1:11">
      <c r="A39" t="s">
        <v>193</v>
      </c>
      <c r="B39">
        <v>550</v>
      </c>
      <c r="C39" t="s">
        <v>194</v>
      </c>
      <c r="D39">
        <v>1</v>
      </c>
      <c r="E39">
        <v>8</v>
      </c>
      <c r="F39">
        <v>12</v>
      </c>
      <c r="G39">
        <v>1</v>
      </c>
      <c r="H39" s="6">
        <f t="shared" si="1"/>
        <v>160</v>
      </c>
      <c r="I39">
        <f t="shared" si="0"/>
        <v>88000</v>
      </c>
      <c r="J39" s="44">
        <f>I39*B$1</f>
        <v>2728000</v>
      </c>
      <c r="K39">
        <f t="shared" si="2"/>
        <v>88000</v>
      </c>
    </row>
    <row r="40" spans="1:11">
      <c r="A40" t="s">
        <v>195</v>
      </c>
      <c r="B40">
        <v>300</v>
      </c>
      <c r="C40" t="s">
        <v>196</v>
      </c>
      <c r="D40">
        <v>-1</v>
      </c>
      <c r="E40">
        <v>2.5</v>
      </c>
      <c r="F40">
        <v>12</v>
      </c>
      <c r="G40">
        <v>1.5</v>
      </c>
      <c r="H40" s="6">
        <f t="shared" si="1"/>
        <v>39.375</v>
      </c>
      <c r="I40">
        <f t="shared" si="0"/>
        <v>11812.5</v>
      </c>
      <c r="J40" s="44">
        <f>I40*B$3</f>
        <v>189000</v>
      </c>
      <c r="K40">
        <f t="shared" si="2"/>
        <v>-11812.5</v>
      </c>
    </row>
    <row r="41" spans="1:11">
      <c r="A41" t="s">
        <v>60</v>
      </c>
      <c r="B41">
        <v>300</v>
      </c>
      <c r="C41" t="s">
        <v>61</v>
      </c>
      <c r="D41">
        <v>1</v>
      </c>
      <c r="E41">
        <v>7</v>
      </c>
      <c r="F41">
        <v>12</v>
      </c>
      <c r="G41">
        <v>1</v>
      </c>
      <c r="H41" s="6">
        <f t="shared" si="1"/>
        <v>133</v>
      </c>
      <c r="I41">
        <f t="shared" si="0"/>
        <v>39900</v>
      </c>
      <c r="J41" s="44">
        <f>I41*B$1</f>
        <v>1236900</v>
      </c>
      <c r="K41">
        <f t="shared" si="2"/>
        <v>39900</v>
      </c>
    </row>
    <row r="42" spans="1:11">
      <c r="A42" t="s">
        <v>58</v>
      </c>
      <c r="B42">
        <v>50</v>
      </c>
      <c r="C42" t="s">
        <v>61</v>
      </c>
      <c r="D42">
        <v>1</v>
      </c>
      <c r="E42">
        <v>5</v>
      </c>
      <c r="F42">
        <v>12</v>
      </c>
      <c r="G42">
        <v>1</v>
      </c>
      <c r="H42" s="6">
        <f t="shared" si="1"/>
        <v>85</v>
      </c>
      <c r="I42">
        <f t="shared" si="0"/>
        <v>4250</v>
      </c>
      <c r="J42" s="44">
        <f>I42*B$1</f>
        <v>131750</v>
      </c>
      <c r="K42">
        <f t="shared" si="2"/>
        <v>4250</v>
      </c>
    </row>
    <row r="43" spans="1:11">
      <c r="A43" t="s">
        <v>69</v>
      </c>
      <c r="B43">
        <v>480</v>
      </c>
      <c r="C43" t="s">
        <v>61</v>
      </c>
      <c r="D43">
        <v>1</v>
      </c>
      <c r="E43">
        <v>10</v>
      </c>
      <c r="F43">
        <v>12</v>
      </c>
      <c r="G43">
        <v>1</v>
      </c>
      <c r="H43" s="6">
        <f t="shared" si="1"/>
        <v>220</v>
      </c>
      <c r="I43">
        <f t="shared" si="0"/>
        <v>105600</v>
      </c>
      <c r="J43" s="44">
        <f t="shared" ref="J43" si="3">I43*B$1</f>
        <v>3273600</v>
      </c>
      <c r="K43">
        <f t="shared" si="2"/>
        <v>105600</v>
      </c>
    </row>
    <row r="44" spans="1:11">
      <c r="A44" t="s">
        <v>69</v>
      </c>
      <c r="B44">
        <v>500</v>
      </c>
      <c r="C44" t="s">
        <v>196</v>
      </c>
      <c r="D44">
        <v>-1</v>
      </c>
      <c r="E44">
        <v>20</v>
      </c>
      <c r="F44">
        <v>12</v>
      </c>
      <c r="G44">
        <v>1.5</v>
      </c>
      <c r="H44" s="6">
        <f t="shared" si="1"/>
        <v>840</v>
      </c>
      <c r="I44">
        <f t="shared" ref="I44:I75" si="4">H44*B44</f>
        <v>420000</v>
      </c>
      <c r="J44" s="44">
        <f>I44*B$3</f>
        <v>6720000</v>
      </c>
      <c r="K44">
        <f t="shared" si="2"/>
        <v>-420000</v>
      </c>
    </row>
    <row r="45" spans="1:11">
      <c r="A45" t="s">
        <v>69</v>
      </c>
      <c r="B45">
        <v>500</v>
      </c>
      <c r="C45" t="s">
        <v>196</v>
      </c>
      <c r="D45">
        <v>-1</v>
      </c>
      <c r="E45">
        <v>15</v>
      </c>
      <c r="F45">
        <v>12</v>
      </c>
      <c r="G45">
        <v>1.5</v>
      </c>
      <c r="H45" s="6">
        <f t="shared" si="1"/>
        <v>517.5</v>
      </c>
      <c r="I45">
        <f t="shared" si="4"/>
        <v>258750</v>
      </c>
      <c r="J45" s="44">
        <f t="shared" ref="J45:J48" si="5">I45*B$3</f>
        <v>4140000</v>
      </c>
      <c r="K45">
        <f t="shared" si="2"/>
        <v>-258750</v>
      </c>
    </row>
    <row r="46" spans="1:11">
      <c r="A46" t="s">
        <v>69</v>
      </c>
      <c r="B46">
        <v>470</v>
      </c>
      <c r="C46" t="s">
        <v>196</v>
      </c>
      <c r="D46">
        <v>-1</v>
      </c>
      <c r="E46">
        <v>4</v>
      </c>
      <c r="F46">
        <v>12</v>
      </c>
      <c r="G46">
        <v>1.5</v>
      </c>
      <c r="H46" s="6">
        <f t="shared" si="1"/>
        <v>72</v>
      </c>
      <c r="I46">
        <f t="shared" si="4"/>
        <v>33840</v>
      </c>
      <c r="J46" s="44">
        <f t="shared" si="5"/>
        <v>541440</v>
      </c>
      <c r="K46">
        <f t="shared" si="2"/>
        <v>-33840</v>
      </c>
    </row>
    <row r="47" spans="1:11">
      <c r="A47" t="s">
        <v>17</v>
      </c>
      <c r="B47">
        <v>1500</v>
      </c>
      <c r="C47" t="s">
        <v>18</v>
      </c>
      <c r="D47">
        <v>-1</v>
      </c>
      <c r="E47">
        <v>4</v>
      </c>
      <c r="F47">
        <v>6</v>
      </c>
      <c r="G47">
        <v>1.5</v>
      </c>
      <c r="H47" s="6">
        <f>F47*E47</f>
        <v>24</v>
      </c>
      <c r="I47">
        <f t="shared" si="4"/>
        <v>36000</v>
      </c>
      <c r="J47" s="44">
        <f t="shared" si="5"/>
        <v>576000</v>
      </c>
      <c r="K47">
        <f t="shared" si="2"/>
        <v>-36000</v>
      </c>
    </row>
    <row r="48" spans="1:11">
      <c r="A48" t="s">
        <v>19</v>
      </c>
      <c r="B48">
        <v>4000</v>
      </c>
      <c r="C48" t="s">
        <v>18</v>
      </c>
      <c r="D48">
        <v>-1</v>
      </c>
      <c r="E48">
        <v>1.5</v>
      </c>
      <c r="F48">
        <v>6</v>
      </c>
      <c r="G48">
        <v>1.5</v>
      </c>
      <c r="H48" s="6">
        <f>F48*E48</f>
        <v>9</v>
      </c>
      <c r="I48">
        <f t="shared" si="4"/>
        <v>36000</v>
      </c>
      <c r="J48" s="44">
        <f t="shared" si="5"/>
        <v>576000</v>
      </c>
      <c r="K48">
        <f t="shared" si="2"/>
        <v>-36000</v>
      </c>
    </row>
    <row r="49" spans="1:11">
      <c r="A49" t="s">
        <v>451</v>
      </c>
      <c r="B49">
        <v>500</v>
      </c>
      <c r="C49" t="s">
        <v>452</v>
      </c>
      <c r="D49">
        <v>0</v>
      </c>
      <c r="E49">
        <v>2</v>
      </c>
      <c r="F49">
        <v>12</v>
      </c>
      <c r="G49">
        <v>1</v>
      </c>
      <c r="H49" s="6">
        <f t="shared" si="1"/>
        <v>28</v>
      </c>
      <c r="I49">
        <f t="shared" si="4"/>
        <v>14000</v>
      </c>
      <c r="J49" s="44">
        <f>I49*B$4</f>
        <v>210000</v>
      </c>
      <c r="K49">
        <f t="shared" si="2"/>
        <v>0</v>
      </c>
    </row>
    <row r="50" spans="1:11">
      <c r="A50" t="s">
        <v>474</v>
      </c>
      <c r="B50">
        <v>2000</v>
      </c>
      <c r="C50" t="s">
        <v>475</v>
      </c>
      <c r="D50">
        <v>-1</v>
      </c>
      <c r="E50">
        <v>3</v>
      </c>
      <c r="F50">
        <v>6</v>
      </c>
      <c r="G50">
        <v>1.5</v>
      </c>
      <c r="H50" s="6">
        <f>F50*E50</f>
        <v>18</v>
      </c>
      <c r="I50">
        <f t="shared" si="4"/>
        <v>36000</v>
      </c>
      <c r="J50" s="44">
        <f>I50*B$3</f>
        <v>576000</v>
      </c>
      <c r="K50">
        <f t="shared" si="2"/>
        <v>-36000</v>
      </c>
    </row>
    <row r="51" spans="1:11">
      <c r="A51" t="s">
        <v>474</v>
      </c>
      <c r="B51">
        <v>500</v>
      </c>
      <c r="C51" t="s">
        <v>476</v>
      </c>
      <c r="D51">
        <v>1</v>
      </c>
      <c r="E51">
        <v>5</v>
      </c>
      <c r="F51">
        <v>12</v>
      </c>
      <c r="G51">
        <v>1</v>
      </c>
      <c r="H51" s="6">
        <f t="shared" si="1"/>
        <v>85</v>
      </c>
      <c r="I51">
        <f t="shared" si="4"/>
        <v>42500</v>
      </c>
      <c r="J51" s="44">
        <f>I51*B$1</f>
        <v>1317500</v>
      </c>
      <c r="K51">
        <f t="shared" si="2"/>
        <v>42500</v>
      </c>
    </row>
    <row r="52" spans="1:11">
      <c r="A52" t="s">
        <v>474</v>
      </c>
      <c r="B52">
        <v>2500</v>
      </c>
      <c r="C52" t="s">
        <v>477</v>
      </c>
      <c r="D52">
        <v>1</v>
      </c>
      <c r="E52">
        <v>5</v>
      </c>
      <c r="F52">
        <v>6</v>
      </c>
      <c r="G52">
        <v>1</v>
      </c>
      <c r="H52" s="6">
        <f>F52*E52</f>
        <v>30</v>
      </c>
      <c r="I52">
        <f t="shared" si="4"/>
        <v>75000</v>
      </c>
      <c r="J52" s="44">
        <f>I52*B$1</f>
        <v>2325000</v>
      </c>
      <c r="K52">
        <f t="shared" si="2"/>
        <v>75000</v>
      </c>
    </row>
    <row r="53" spans="1:11">
      <c r="A53" t="s">
        <v>474</v>
      </c>
      <c r="B53">
        <v>400</v>
      </c>
      <c r="C53" t="s">
        <v>478</v>
      </c>
      <c r="D53">
        <v>-1</v>
      </c>
      <c r="E53">
        <v>4</v>
      </c>
      <c r="F53">
        <v>6</v>
      </c>
      <c r="G53">
        <v>1.5</v>
      </c>
      <c r="H53" s="6">
        <f>F53*E53</f>
        <v>24</v>
      </c>
      <c r="I53">
        <f t="shared" si="4"/>
        <v>9600</v>
      </c>
      <c r="J53" s="44">
        <f>I53*B$3</f>
        <v>153600</v>
      </c>
      <c r="K53">
        <f t="shared" si="2"/>
        <v>-9600</v>
      </c>
    </row>
    <row r="54" spans="1:11">
      <c r="A54" t="s">
        <v>474</v>
      </c>
      <c r="B54">
        <v>650</v>
      </c>
      <c r="C54" t="s">
        <v>479</v>
      </c>
      <c r="D54">
        <v>1</v>
      </c>
      <c r="E54">
        <v>4</v>
      </c>
      <c r="F54">
        <v>6</v>
      </c>
      <c r="G54">
        <v>1</v>
      </c>
      <c r="H54" s="6">
        <f>F54*E54</f>
        <v>24</v>
      </c>
      <c r="I54">
        <f t="shared" si="4"/>
        <v>15600</v>
      </c>
      <c r="J54" s="44">
        <f>I54*B$1</f>
        <v>483600</v>
      </c>
      <c r="K54">
        <f t="shared" si="2"/>
        <v>15600</v>
      </c>
    </row>
    <row r="55" spans="1:11">
      <c r="A55" t="s">
        <v>336</v>
      </c>
      <c r="B55">
        <v>2200</v>
      </c>
      <c r="C55" t="s">
        <v>337</v>
      </c>
      <c r="D55">
        <v>-1</v>
      </c>
      <c r="E55">
        <v>8</v>
      </c>
      <c r="F55">
        <v>12</v>
      </c>
      <c r="G55">
        <v>1.5</v>
      </c>
      <c r="H55" s="6">
        <f t="shared" si="1"/>
        <v>192</v>
      </c>
      <c r="I55">
        <f t="shared" si="4"/>
        <v>422400</v>
      </c>
      <c r="J55" s="44">
        <f>I55*B$3</f>
        <v>6758400</v>
      </c>
      <c r="K55">
        <f t="shared" si="2"/>
        <v>-422400</v>
      </c>
    </row>
    <row r="56" spans="1:11">
      <c r="A56" t="s">
        <v>336</v>
      </c>
      <c r="B56">
        <v>1200</v>
      </c>
      <c r="C56" t="s">
        <v>420</v>
      </c>
      <c r="D56">
        <v>1</v>
      </c>
      <c r="E56">
        <v>10</v>
      </c>
      <c r="F56">
        <v>12</v>
      </c>
      <c r="G56">
        <v>1</v>
      </c>
      <c r="H56" s="6">
        <f>F56*E56</f>
        <v>120</v>
      </c>
      <c r="I56">
        <f t="shared" si="4"/>
        <v>144000</v>
      </c>
      <c r="J56" s="44">
        <f t="shared" ref="J56" si="6">I56*B$1</f>
        <v>4464000</v>
      </c>
      <c r="K56">
        <f t="shared" si="2"/>
        <v>144000</v>
      </c>
    </row>
    <row r="57" spans="1:11">
      <c r="A57" t="s">
        <v>417</v>
      </c>
      <c r="B57">
        <v>1900</v>
      </c>
      <c r="C57" t="s">
        <v>337</v>
      </c>
      <c r="D57">
        <v>-1</v>
      </c>
      <c r="E57">
        <v>5</v>
      </c>
      <c r="F57">
        <v>12</v>
      </c>
      <c r="G57">
        <v>1.5</v>
      </c>
      <c r="H57" s="6">
        <f t="shared" si="1"/>
        <v>97.5</v>
      </c>
      <c r="I57">
        <f t="shared" si="4"/>
        <v>185250</v>
      </c>
      <c r="J57" s="44">
        <f>I57*B$3</f>
        <v>2964000</v>
      </c>
      <c r="K57">
        <f t="shared" si="2"/>
        <v>-185250</v>
      </c>
    </row>
    <row r="58" spans="1:11">
      <c r="A58" t="s">
        <v>417</v>
      </c>
      <c r="B58">
        <v>1000</v>
      </c>
      <c r="C58" t="s">
        <v>476</v>
      </c>
      <c r="D58">
        <v>1</v>
      </c>
      <c r="E58">
        <v>8</v>
      </c>
      <c r="F58">
        <v>12</v>
      </c>
      <c r="G58">
        <v>1</v>
      </c>
      <c r="H58" s="6">
        <f t="shared" si="1"/>
        <v>160</v>
      </c>
      <c r="I58">
        <f t="shared" si="4"/>
        <v>160000</v>
      </c>
      <c r="J58" s="44">
        <f>I58*B$1</f>
        <v>4960000</v>
      </c>
      <c r="K58">
        <f t="shared" si="2"/>
        <v>160000</v>
      </c>
    </row>
    <row r="59" spans="1:11">
      <c r="A59" t="s">
        <v>417</v>
      </c>
      <c r="B59">
        <v>1000</v>
      </c>
      <c r="C59" t="s">
        <v>475</v>
      </c>
      <c r="D59">
        <v>-1</v>
      </c>
      <c r="E59">
        <v>3</v>
      </c>
      <c r="F59">
        <v>6</v>
      </c>
      <c r="G59">
        <v>1.5</v>
      </c>
      <c r="H59" s="6">
        <f>F59*E59</f>
        <v>18</v>
      </c>
      <c r="I59">
        <f t="shared" si="4"/>
        <v>18000</v>
      </c>
      <c r="J59" s="44">
        <f>I59*B$3</f>
        <v>288000</v>
      </c>
      <c r="K59">
        <f t="shared" si="2"/>
        <v>-18000</v>
      </c>
    </row>
    <row r="60" spans="1:11">
      <c r="A60" t="s">
        <v>430</v>
      </c>
      <c r="B60">
        <v>5600</v>
      </c>
      <c r="C60" t="s">
        <v>431</v>
      </c>
      <c r="D60">
        <v>0</v>
      </c>
      <c r="E60">
        <v>2</v>
      </c>
      <c r="F60">
        <v>6</v>
      </c>
      <c r="G60">
        <v>1.5</v>
      </c>
      <c r="H60" s="6">
        <f>F60*E60</f>
        <v>12</v>
      </c>
      <c r="I60">
        <f t="shared" si="4"/>
        <v>67200</v>
      </c>
      <c r="J60" s="44">
        <f>I60*B$4</f>
        <v>1008000</v>
      </c>
      <c r="K60">
        <f t="shared" si="2"/>
        <v>0</v>
      </c>
    </row>
    <row r="61" spans="1:11">
      <c r="A61" t="s">
        <v>441</v>
      </c>
      <c r="B61">
        <v>1240</v>
      </c>
      <c r="C61" t="s">
        <v>452</v>
      </c>
      <c r="D61">
        <v>0</v>
      </c>
      <c r="E61">
        <v>2</v>
      </c>
      <c r="F61">
        <v>12</v>
      </c>
      <c r="G61">
        <v>1</v>
      </c>
      <c r="H61" s="6">
        <f t="shared" si="1"/>
        <v>28</v>
      </c>
      <c r="I61">
        <f t="shared" si="4"/>
        <v>34720</v>
      </c>
      <c r="J61" s="44">
        <f t="shared" ref="J61:J73" si="7">I61*B$3</f>
        <v>555520</v>
      </c>
      <c r="K61">
        <f t="shared" si="2"/>
        <v>0</v>
      </c>
    </row>
    <row r="62" spans="1:11">
      <c r="A62" t="s">
        <v>448</v>
      </c>
      <c r="B62">
        <v>680</v>
      </c>
      <c r="C62" t="s">
        <v>506</v>
      </c>
      <c r="D62">
        <v>1</v>
      </c>
      <c r="E62">
        <v>4</v>
      </c>
      <c r="F62">
        <v>12</v>
      </c>
      <c r="G62">
        <v>1</v>
      </c>
      <c r="H62" s="6">
        <f t="shared" si="1"/>
        <v>64</v>
      </c>
      <c r="I62">
        <f t="shared" si="4"/>
        <v>43520</v>
      </c>
      <c r="J62" s="44">
        <f>I62*B$1</f>
        <v>1349120</v>
      </c>
      <c r="K62">
        <f t="shared" si="2"/>
        <v>43520</v>
      </c>
    </row>
    <row r="63" spans="1:11">
      <c r="A63" t="s">
        <v>448</v>
      </c>
      <c r="B63">
        <v>1520</v>
      </c>
      <c r="C63" t="s">
        <v>507</v>
      </c>
      <c r="D63">
        <v>0</v>
      </c>
      <c r="E63">
        <v>1</v>
      </c>
      <c r="F63">
        <v>6</v>
      </c>
      <c r="G63">
        <v>1</v>
      </c>
      <c r="H63" s="6">
        <f>F63*E63</f>
        <v>6</v>
      </c>
      <c r="I63">
        <f t="shared" si="4"/>
        <v>9120</v>
      </c>
      <c r="J63" s="44">
        <f>I63*B$3</f>
        <v>145920</v>
      </c>
      <c r="K63">
        <f t="shared" si="2"/>
        <v>0</v>
      </c>
    </row>
    <row r="64" spans="1:11">
      <c r="A64" t="s">
        <v>514</v>
      </c>
      <c r="B64">
        <v>270</v>
      </c>
      <c r="C64" t="s">
        <v>476</v>
      </c>
      <c r="D64">
        <v>1</v>
      </c>
      <c r="E64">
        <v>10</v>
      </c>
      <c r="F64">
        <v>12</v>
      </c>
      <c r="G64">
        <v>1</v>
      </c>
      <c r="H64" s="6">
        <f t="shared" si="1"/>
        <v>220</v>
      </c>
      <c r="I64">
        <f t="shared" si="4"/>
        <v>59400</v>
      </c>
      <c r="J64" s="44">
        <f>I64*B$1</f>
        <v>1841400</v>
      </c>
      <c r="K64">
        <f t="shared" si="2"/>
        <v>59400</v>
      </c>
    </row>
    <row r="65" spans="1:11">
      <c r="A65" t="s">
        <v>514</v>
      </c>
      <c r="B65">
        <v>740</v>
      </c>
      <c r="C65" t="s">
        <v>476</v>
      </c>
      <c r="D65">
        <v>1</v>
      </c>
      <c r="E65">
        <v>8</v>
      </c>
      <c r="F65">
        <v>12</v>
      </c>
      <c r="G65">
        <v>1</v>
      </c>
      <c r="H65" s="6">
        <f t="shared" si="1"/>
        <v>160</v>
      </c>
      <c r="I65">
        <f t="shared" si="4"/>
        <v>118400</v>
      </c>
      <c r="J65" s="44">
        <f>I65*B$1</f>
        <v>3670400</v>
      </c>
      <c r="K65">
        <f t="shared" si="2"/>
        <v>118400</v>
      </c>
    </row>
    <row r="66" spans="1:11">
      <c r="A66" t="s">
        <v>514</v>
      </c>
      <c r="B66">
        <v>480</v>
      </c>
      <c r="C66" t="s">
        <v>337</v>
      </c>
      <c r="D66">
        <v>-1</v>
      </c>
      <c r="E66">
        <v>10</v>
      </c>
      <c r="F66">
        <v>12</v>
      </c>
      <c r="G66">
        <v>1.5</v>
      </c>
      <c r="H66" s="6">
        <f t="shared" si="1"/>
        <v>270</v>
      </c>
      <c r="I66">
        <f t="shared" si="4"/>
        <v>129600</v>
      </c>
      <c r="J66" s="44">
        <f t="shared" si="7"/>
        <v>2073600</v>
      </c>
      <c r="K66">
        <f t="shared" si="2"/>
        <v>-129600</v>
      </c>
    </row>
    <row r="67" spans="1:11">
      <c r="A67" t="s">
        <v>542</v>
      </c>
      <c r="B67">
        <v>850</v>
      </c>
      <c r="C67" t="s">
        <v>476</v>
      </c>
      <c r="D67">
        <v>1</v>
      </c>
      <c r="E67">
        <v>10</v>
      </c>
      <c r="F67">
        <v>12</v>
      </c>
      <c r="G67">
        <v>1</v>
      </c>
      <c r="H67" s="6">
        <f t="shared" si="1"/>
        <v>220</v>
      </c>
      <c r="I67">
        <f t="shared" si="4"/>
        <v>187000</v>
      </c>
      <c r="J67" s="44">
        <f>I67*B$1</f>
        <v>5797000</v>
      </c>
      <c r="K67">
        <f t="shared" si="2"/>
        <v>187000</v>
      </c>
    </row>
    <row r="68" spans="1:11">
      <c r="A68" t="s">
        <v>543</v>
      </c>
      <c r="B68">
        <v>930</v>
      </c>
      <c r="C68" t="s">
        <v>475</v>
      </c>
      <c r="D68">
        <v>-1</v>
      </c>
      <c r="E68">
        <v>2</v>
      </c>
      <c r="F68">
        <v>6</v>
      </c>
      <c r="G68">
        <v>1.5</v>
      </c>
      <c r="H68" s="6">
        <f>F68*E68</f>
        <v>12</v>
      </c>
      <c r="I68">
        <f t="shared" si="4"/>
        <v>11160</v>
      </c>
      <c r="J68" s="44">
        <f t="shared" si="7"/>
        <v>178560</v>
      </c>
      <c r="K68">
        <f t="shared" si="2"/>
        <v>-11160</v>
      </c>
    </row>
    <row r="69" spans="1:11">
      <c r="A69" t="s">
        <v>551</v>
      </c>
      <c r="B69">
        <v>1420</v>
      </c>
      <c r="C69" t="s">
        <v>452</v>
      </c>
      <c r="D69">
        <v>0</v>
      </c>
      <c r="E69">
        <v>4</v>
      </c>
      <c r="F69">
        <v>12</v>
      </c>
      <c r="G69">
        <v>1</v>
      </c>
      <c r="H69" s="6">
        <f t="shared" si="1"/>
        <v>64</v>
      </c>
      <c r="I69">
        <f t="shared" si="4"/>
        <v>90880</v>
      </c>
      <c r="J69" s="44">
        <f>I69*B$4</f>
        <v>1363200</v>
      </c>
      <c r="K69">
        <f t="shared" si="2"/>
        <v>0</v>
      </c>
    </row>
    <row r="70" spans="1:11">
      <c r="A70" t="s">
        <v>608</v>
      </c>
      <c r="B70">
        <v>4690</v>
      </c>
      <c r="C70" t="s">
        <v>507</v>
      </c>
      <c r="D70">
        <v>0</v>
      </c>
      <c r="E70">
        <v>4</v>
      </c>
      <c r="F70">
        <v>6</v>
      </c>
      <c r="G70">
        <v>1</v>
      </c>
      <c r="H70" s="6">
        <f>F70*E70</f>
        <v>24</v>
      </c>
      <c r="I70">
        <f t="shared" si="4"/>
        <v>112560</v>
      </c>
      <c r="J70" s="44">
        <f>I70*B$4</f>
        <v>1688400</v>
      </c>
      <c r="K70">
        <f t="shared" si="2"/>
        <v>0</v>
      </c>
    </row>
    <row r="71" spans="1:11">
      <c r="A71" t="s">
        <v>496</v>
      </c>
      <c r="B71">
        <v>15000</v>
      </c>
      <c r="C71" t="s">
        <v>507</v>
      </c>
      <c r="D71">
        <v>0</v>
      </c>
      <c r="E71">
        <v>2</v>
      </c>
      <c r="F71">
        <v>6</v>
      </c>
      <c r="G71">
        <v>1.5</v>
      </c>
      <c r="H71" s="6">
        <f>F71*E71</f>
        <v>12</v>
      </c>
      <c r="I71">
        <f t="shared" si="4"/>
        <v>180000</v>
      </c>
      <c r="J71" s="44">
        <f>I71*B$4</f>
        <v>2700000</v>
      </c>
      <c r="K71">
        <f t="shared" si="2"/>
        <v>0</v>
      </c>
    </row>
    <row r="72" spans="1:11">
      <c r="A72" t="s">
        <v>485</v>
      </c>
      <c r="B72">
        <v>7300</v>
      </c>
      <c r="C72" t="s">
        <v>507</v>
      </c>
      <c r="D72">
        <v>0</v>
      </c>
      <c r="E72">
        <v>4</v>
      </c>
      <c r="F72">
        <v>6</v>
      </c>
      <c r="G72">
        <v>1.5</v>
      </c>
      <c r="H72" s="6">
        <f>F72*E72</f>
        <v>24</v>
      </c>
      <c r="I72">
        <f t="shared" si="4"/>
        <v>175200</v>
      </c>
      <c r="J72" s="44">
        <f t="shared" si="7"/>
        <v>2803200</v>
      </c>
      <c r="K72">
        <f t="shared" si="2"/>
        <v>0</v>
      </c>
    </row>
    <row r="73" spans="1:11">
      <c r="A73" t="s">
        <v>495</v>
      </c>
      <c r="B73">
        <v>680</v>
      </c>
      <c r="C73" t="s">
        <v>337</v>
      </c>
      <c r="D73">
        <v>-1</v>
      </c>
      <c r="E73">
        <v>3</v>
      </c>
      <c r="F73">
        <v>12</v>
      </c>
      <c r="G73">
        <v>1.5</v>
      </c>
      <c r="H73" s="6">
        <f t="shared" si="1"/>
        <v>49.5</v>
      </c>
      <c r="I73">
        <f t="shared" si="4"/>
        <v>33660</v>
      </c>
      <c r="J73" s="44">
        <f t="shared" si="7"/>
        <v>538560</v>
      </c>
      <c r="K73">
        <f t="shared" si="2"/>
        <v>-33660</v>
      </c>
    </row>
    <row r="74" spans="1:11">
      <c r="A74" t="s">
        <v>495</v>
      </c>
      <c r="B74">
        <v>620</v>
      </c>
      <c r="C74" t="s">
        <v>476</v>
      </c>
      <c r="D74">
        <v>1</v>
      </c>
      <c r="E74">
        <v>7</v>
      </c>
      <c r="F74">
        <v>12</v>
      </c>
      <c r="G74">
        <v>1</v>
      </c>
      <c r="H74" s="6">
        <f t="shared" si="1"/>
        <v>133</v>
      </c>
      <c r="I74">
        <f t="shared" si="4"/>
        <v>82460</v>
      </c>
      <c r="J74" s="44">
        <f>I74*B$1</f>
        <v>2556260</v>
      </c>
      <c r="K74">
        <f t="shared" si="2"/>
        <v>82460</v>
      </c>
    </row>
    <row r="75" spans="1:11">
      <c r="A75" t="s">
        <v>504</v>
      </c>
      <c r="B75">
        <v>360</v>
      </c>
      <c r="C75" t="s">
        <v>337</v>
      </c>
      <c r="D75">
        <v>-1</v>
      </c>
      <c r="E75">
        <v>5</v>
      </c>
      <c r="F75">
        <v>12</v>
      </c>
      <c r="G75">
        <v>1.5</v>
      </c>
      <c r="H75" s="6">
        <f t="shared" ref="H75:H89" si="8">F75*E75+(G75*E75^2)</f>
        <v>97.5</v>
      </c>
      <c r="I75">
        <f t="shared" si="4"/>
        <v>35100</v>
      </c>
      <c r="J75" s="44">
        <f>I75*B$3</f>
        <v>561600</v>
      </c>
      <c r="K75">
        <f t="shared" si="2"/>
        <v>-35100</v>
      </c>
    </row>
    <row r="76" spans="1:11">
      <c r="A76" t="s">
        <v>565</v>
      </c>
      <c r="B76">
        <f>1050-360-550</f>
        <v>140</v>
      </c>
      <c r="C76" t="s">
        <v>337</v>
      </c>
      <c r="D76">
        <v>-1</v>
      </c>
      <c r="E76">
        <v>4</v>
      </c>
      <c r="F76">
        <v>12</v>
      </c>
      <c r="G76">
        <v>1.5</v>
      </c>
      <c r="H76" s="6">
        <f t="shared" si="8"/>
        <v>72</v>
      </c>
      <c r="I76">
        <f t="shared" ref="I76:I89" si="9">H76*B76</f>
        <v>10080</v>
      </c>
      <c r="J76" s="44">
        <f>I76*B$3</f>
        <v>161280</v>
      </c>
      <c r="K76">
        <f t="shared" ref="K76:K89" si="10">I76*D76</f>
        <v>-10080</v>
      </c>
    </row>
    <row r="77" spans="1:11">
      <c r="A77" t="s">
        <v>569</v>
      </c>
      <c r="B77">
        <v>1600</v>
      </c>
      <c r="C77" t="s">
        <v>570</v>
      </c>
      <c r="D77">
        <v>1</v>
      </c>
      <c r="E77">
        <v>1</v>
      </c>
      <c r="F77">
        <v>12</v>
      </c>
      <c r="G77">
        <v>1</v>
      </c>
      <c r="H77" s="6">
        <f t="shared" si="8"/>
        <v>13</v>
      </c>
      <c r="I77">
        <f t="shared" si="9"/>
        <v>20800</v>
      </c>
      <c r="J77" s="44">
        <f>I77*B$2</f>
        <v>291200</v>
      </c>
      <c r="K77">
        <f t="shared" si="10"/>
        <v>20800</v>
      </c>
    </row>
    <row r="78" spans="1:11">
      <c r="A78" t="s">
        <v>579</v>
      </c>
      <c r="B78">
        <v>1040</v>
      </c>
      <c r="C78" t="s">
        <v>337</v>
      </c>
      <c r="D78">
        <v>-1</v>
      </c>
      <c r="E78">
        <v>2.5</v>
      </c>
      <c r="F78">
        <v>12</v>
      </c>
      <c r="G78">
        <v>1.5</v>
      </c>
      <c r="H78" s="6">
        <f t="shared" si="8"/>
        <v>39.375</v>
      </c>
      <c r="I78">
        <f t="shared" si="9"/>
        <v>40950</v>
      </c>
      <c r="J78" s="44">
        <f t="shared" ref="J78:J89" si="11">I78*B$3</f>
        <v>655200</v>
      </c>
      <c r="K78">
        <f t="shared" si="10"/>
        <v>-40950</v>
      </c>
    </row>
    <row r="79" spans="1:11">
      <c r="A79" t="s">
        <v>580</v>
      </c>
      <c r="B79">
        <v>210</v>
      </c>
      <c r="C79" t="s">
        <v>570</v>
      </c>
      <c r="D79">
        <v>1</v>
      </c>
      <c r="E79">
        <v>4</v>
      </c>
      <c r="F79">
        <v>12</v>
      </c>
      <c r="G79">
        <v>1.5</v>
      </c>
      <c r="H79" s="6">
        <f t="shared" si="8"/>
        <v>72</v>
      </c>
      <c r="I79">
        <f t="shared" si="9"/>
        <v>15120</v>
      </c>
      <c r="J79" s="44">
        <f t="shared" si="11"/>
        <v>241920</v>
      </c>
      <c r="K79">
        <f t="shared" si="10"/>
        <v>15120</v>
      </c>
    </row>
    <row r="80" spans="1:11">
      <c r="H80" s="6">
        <f t="shared" si="8"/>
        <v>0</v>
      </c>
      <c r="I80">
        <f t="shared" si="9"/>
        <v>0</v>
      </c>
      <c r="J80" s="44">
        <f t="shared" si="11"/>
        <v>0</v>
      </c>
      <c r="K80">
        <f t="shared" si="10"/>
        <v>0</v>
      </c>
    </row>
    <row r="81" spans="8:11">
      <c r="H81" s="6">
        <f t="shared" si="8"/>
        <v>0</v>
      </c>
      <c r="I81">
        <f t="shared" si="9"/>
        <v>0</v>
      </c>
      <c r="J81" s="44">
        <f t="shared" si="11"/>
        <v>0</v>
      </c>
      <c r="K81">
        <f t="shared" si="10"/>
        <v>0</v>
      </c>
    </row>
    <row r="82" spans="8:11">
      <c r="H82" s="6">
        <f t="shared" si="8"/>
        <v>0</v>
      </c>
      <c r="I82">
        <f t="shared" si="9"/>
        <v>0</v>
      </c>
      <c r="J82" s="44">
        <f t="shared" si="11"/>
        <v>0</v>
      </c>
      <c r="K82">
        <f t="shared" si="10"/>
        <v>0</v>
      </c>
    </row>
    <row r="83" spans="8:11">
      <c r="H83" s="6">
        <f t="shared" si="8"/>
        <v>0</v>
      </c>
      <c r="I83">
        <f t="shared" si="9"/>
        <v>0</v>
      </c>
      <c r="J83" s="44">
        <f t="shared" si="11"/>
        <v>0</v>
      </c>
      <c r="K83">
        <f t="shared" si="10"/>
        <v>0</v>
      </c>
    </row>
    <row r="84" spans="8:11">
      <c r="H84" s="6">
        <f t="shared" si="8"/>
        <v>0</v>
      </c>
      <c r="I84">
        <f t="shared" si="9"/>
        <v>0</v>
      </c>
      <c r="J84" s="44">
        <f t="shared" si="11"/>
        <v>0</v>
      </c>
      <c r="K84">
        <f t="shared" si="10"/>
        <v>0</v>
      </c>
    </row>
    <row r="85" spans="8:11">
      <c r="H85" s="6">
        <f t="shared" si="8"/>
        <v>0</v>
      </c>
      <c r="I85">
        <f t="shared" si="9"/>
        <v>0</v>
      </c>
      <c r="J85" s="44">
        <f t="shared" si="11"/>
        <v>0</v>
      </c>
      <c r="K85">
        <f t="shared" si="10"/>
        <v>0</v>
      </c>
    </row>
    <row r="86" spans="8:11">
      <c r="H86" s="6">
        <f t="shared" si="8"/>
        <v>0</v>
      </c>
      <c r="I86">
        <f t="shared" si="9"/>
        <v>0</v>
      </c>
      <c r="J86" s="44">
        <f t="shared" si="11"/>
        <v>0</v>
      </c>
      <c r="K86">
        <f t="shared" si="10"/>
        <v>0</v>
      </c>
    </row>
    <row r="87" spans="8:11">
      <c r="H87" s="6">
        <f t="shared" si="8"/>
        <v>0</v>
      </c>
      <c r="I87">
        <f t="shared" si="9"/>
        <v>0</v>
      </c>
      <c r="J87" s="44">
        <f t="shared" si="11"/>
        <v>0</v>
      </c>
      <c r="K87">
        <f t="shared" si="10"/>
        <v>0</v>
      </c>
    </row>
    <row r="88" spans="8:11">
      <c r="H88" s="6">
        <f t="shared" si="8"/>
        <v>0</v>
      </c>
      <c r="I88">
        <f t="shared" si="9"/>
        <v>0</v>
      </c>
      <c r="J88" s="44">
        <f t="shared" si="11"/>
        <v>0</v>
      </c>
      <c r="K88">
        <f t="shared" si="10"/>
        <v>0</v>
      </c>
    </row>
    <row r="89" spans="8:11">
      <c r="H89" s="6">
        <f t="shared" si="8"/>
        <v>0</v>
      </c>
      <c r="I89">
        <f t="shared" si="9"/>
        <v>0</v>
      </c>
      <c r="J89" s="44">
        <f t="shared" si="11"/>
        <v>0</v>
      </c>
      <c r="K89">
        <f t="shared" si="10"/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3"/>
  <sheetViews>
    <sheetView topLeftCell="B19" zoomScale="150" workbookViewId="0">
      <selection activeCell="H60" sqref="H60"/>
    </sheetView>
  </sheetViews>
  <sheetFormatPr baseColWidth="10" defaultRowHeight="13"/>
  <cols>
    <col min="1" max="1" width="20.5703125" bestFit="1" customWidth="1"/>
    <col min="2" max="2" width="16.7109375" bestFit="1" customWidth="1"/>
  </cols>
  <sheetData>
    <row r="1" spans="1:9" ht="30">
      <c r="A1" s="16" t="s">
        <v>73</v>
      </c>
      <c r="B1" s="16" t="s">
        <v>74</v>
      </c>
      <c r="C1" s="16" t="s">
        <v>84</v>
      </c>
      <c r="D1" s="24" t="s">
        <v>85</v>
      </c>
      <c r="E1" s="20"/>
      <c r="F1" s="20"/>
      <c r="G1" s="20"/>
      <c r="H1" s="32" t="s">
        <v>307</v>
      </c>
      <c r="I1" s="32" t="s">
        <v>340</v>
      </c>
    </row>
    <row r="2" spans="1:9" ht="15">
      <c r="A2" s="18" t="s">
        <v>75</v>
      </c>
      <c r="B2" s="18" t="s">
        <v>76</v>
      </c>
      <c r="C2" s="18">
        <v>1500</v>
      </c>
      <c r="D2" s="17" t="s">
        <v>339</v>
      </c>
      <c r="E2" s="20"/>
      <c r="F2" s="20"/>
      <c r="G2" s="20"/>
      <c r="H2" s="33">
        <v>0.67</v>
      </c>
      <c r="I2" s="33">
        <v>0.67</v>
      </c>
    </row>
    <row r="3" spans="1:9" ht="15">
      <c r="A3" s="18" t="s">
        <v>309</v>
      </c>
      <c r="B3" s="18" t="s">
        <v>76</v>
      </c>
      <c r="C3" s="18">
        <v>1000</v>
      </c>
      <c r="D3" s="17" t="s">
        <v>338</v>
      </c>
      <c r="E3" s="20"/>
      <c r="F3" s="20"/>
      <c r="G3" s="20"/>
      <c r="H3" s="33"/>
      <c r="I3" s="20"/>
    </row>
    <row r="4" spans="1:9" ht="15">
      <c r="A4" s="18" t="s">
        <v>310</v>
      </c>
      <c r="B4" s="18" t="s">
        <v>76</v>
      </c>
      <c r="C4" s="18">
        <v>1875</v>
      </c>
      <c r="D4" s="17" t="s">
        <v>338</v>
      </c>
      <c r="E4" s="20"/>
      <c r="F4" s="20"/>
      <c r="G4" s="20"/>
      <c r="H4" s="33"/>
      <c r="I4" s="20"/>
    </row>
    <row r="5" spans="1:9" ht="15">
      <c r="A5" s="18" t="s">
        <v>77</v>
      </c>
      <c r="B5" s="18" t="s">
        <v>76</v>
      </c>
      <c r="C5" s="18">
        <v>2250</v>
      </c>
      <c r="D5" s="17" t="s">
        <v>100</v>
      </c>
      <c r="E5" s="20"/>
      <c r="F5" s="20"/>
      <c r="G5" s="20"/>
      <c r="H5" s="20"/>
      <c r="I5" s="20"/>
    </row>
    <row r="6" spans="1:9" ht="15">
      <c r="A6" s="18" t="s">
        <v>311</v>
      </c>
      <c r="B6" s="18" t="s">
        <v>76</v>
      </c>
      <c r="C6" s="18">
        <v>1500</v>
      </c>
      <c r="D6" s="17" t="s">
        <v>338</v>
      </c>
      <c r="E6" s="20"/>
      <c r="F6" s="20"/>
      <c r="G6" s="20"/>
      <c r="H6" s="20"/>
      <c r="I6" s="20"/>
    </row>
    <row r="7" spans="1:9" ht="15">
      <c r="A7" s="18" t="s">
        <v>78</v>
      </c>
      <c r="B7" s="18" t="s">
        <v>79</v>
      </c>
      <c r="C7" s="18">
        <v>3550</v>
      </c>
      <c r="D7" s="17" t="s">
        <v>86</v>
      </c>
      <c r="E7" s="20"/>
      <c r="F7" s="20"/>
      <c r="G7" s="20"/>
      <c r="H7" s="20"/>
      <c r="I7" s="20"/>
    </row>
    <row r="8" spans="1:9" ht="15">
      <c r="A8" s="18" t="s">
        <v>80</v>
      </c>
      <c r="B8" s="18" t="s">
        <v>81</v>
      </c>
      <c r="C8" s="18">
        <v>700000</v>
      </c>
      <c r="D8" s="25" t="s">
        <v>87</v>
      </c>
      <c r="E8" s="20"/>
      <c r="F8" s="20"/>
      <c r="G8" s="20"/>
      <c r="H8" s="20"/>
      <c r="I8" s="20"/>
    </row>
    <row r="9" spans="1:9" ht="19" customHeight="1">
      <c r="A9" s="19" t="s">
        <v>82</v>
      </c>
      <c r="B9" s="19" t="s">
        <v>83</v>
      </c>
      <c r="C9" s="19">
        <v>1500000</v>
      </c>
      <c r="D9" s="25" t="s">
        <v>87</v>
      </c>
      <c r="E9" s="20"/>
      <c r="F9" s="20"/>
      <c r="G9" s="20"/>
      <c r="H9" s="20"/>
      <c r="I9" s="20"/>
    </row>
    <row r="10" spans="1:9">
      <c r="I10" s="20"/>
    </row>
    <row r="11" spans="1:9">
      <c r="A11" s="21" t="s">
        <v>388</v>
      </c>
      <c r="B11" s="20" t="s">
        <v>202</v>
      </c>
      <c r="C11" s="20" t="s">
        <v>101</v>
      </c>
      <c r="D11" s="20" t="s">
        <v>71</v>
      </c>
      <c r="E11" s="20" t="s">
        <v>72</v>
      </c>
      <c r="F11" s="23" t="s">
        <v>342</v>
      </c>
      <c r="G11" s="23" t="s">
        <v>341</v>
      </c>
      <c r="H11" s="23" t="s">
        <v>315</v>
      </c>
      <c r="I11" s="20"/>
    </row>
    <row r="12" spans="1:9">
      <c r="A12" s="22" t="s">
        <v>322</v>
      </c>
      <c r="B12" s="20" t="s">
        <v>203</v>
      </c>
      <c r="C12" s="20">
        <v>2180</v>
      </c>
      <c r="D12" s="20">
        <f>C12*C7</f>
        <v>7739000</v>
      </c>
      <c r="E12" s="20">
        <v>2</v>
      </c>
      <c r="F12" s="20" t="s">
        <v>343</v>
      </c>
      <c r="G12" s="20">
        <f>E12*C8</f>
        <v>1400000</v>
      </c>
      <c r="H12" s="20">
        <f t="shared" ref="H12:H21" si="0">D12+G12</f>
        <v>9139000</v>
      </c>
      <c r="I12" s="20"/>
    </row>
    <row r="13" spans="1:9">
      <c r="A13" s="20" t="s">
        <v>201</v>
      </c>
      <c r="B13" s="20" t="s">
        <v>34</v>
      </c>
      <c r="C13" s="20">
        <v>920</v>
      </c>
      <c r="D13" s="20">
        <f>C13*C5</f>
        <v>2070000</v>
      </c>
      <c r="E13" s="20">
        <v>0</v>
      </c>
      <c r="F13" s="20"/>
      <c r="G13" s="20">
        <f t="shared" ref="G13:G50" si="1">E13*C9</f>
        <v>0</v>
      </c>
      <c r="H13" s="20">
        <f t="shared" si="0"/>
        <v>2070000</v>
      </c>
      <c r="I13" s="20"/>
    </row>
    <row r="14" spans="1:9">
      <c r="A14" s="20" t="s">
        <v>410</v>
      </c>
      <c r="B14" s="23" t="s">
        <v>266</v>
      </c>
      <c r="C14" s="23">
        <v>1380</v>
      </c>
      <c r="D14" s="20">
        <f>C14*C$5</f>
        <v>3105000</v>
      </c>
      <c r="E14" s="20">
        <v>0</v>
      </c>
      <c r="F14" s="20"/>
      <c r="G14" s="20">
        <f t="shared" si="1"/>
        <v>0</v>
      </c>
      <c r="H14" s="20">
        <f t="shared" si="0"/>
        <v>3105000</v>
      </c>
      <c r="I14" s="20"/>
    </row>
    <row r="15" spans="1:9">
      <c r="A15" s="20" t="s">
        <v>268</v>
      </c>
      <c r="B15" s="23" t="s">
        <v>308</v>
      </c>
      <c r="C15" s="20">
        <f>5420-1850</f>
        <v>3570</v>
      </c>
      <c r="D15" s="20">
        <f>C15*C4</f>
        <v>6693750</v>
      </c>
      <c r="E15" s="23">
        <v>2</v>
      </c>
      <c r="F15" s="23" t="s">
        <v>344</v>
      </c>
      <c r="G15" s="20">
        <f>E15*C9</f>
        <v>3000000</v>
      </c>
      <c r="H15" s="20">
        <f t="shared" si="0"/>
        <v>9693750</v>
      </c>
      <c r="I15" s="20"/>
    </row>
    <row r="16" spans="1:9">
      <c r="A16" s="23" t="s">
        <v>345</v>
      </c>
      <c r="B16" s="23" t="s">
        <v>346</v>
      </c>
      <c r="C16" s="23">
        <v>1850</v>
      </c>
      <c r="D16" s="20">
        <f>C16*C5</f>
        <v>4162500</v>
      </c>
      <c r="E16" s="23">
        <v>0</v>
      </c>
      <c r="F16" s="20"/>
      <c r="G16" s="20">
        <f t="shared" si="1"/>
        <v>0</v>
      </c>
      <c r="H16" s="20">
        <f t="shared" si="0"/>
        <v>4162500</v>
      </c>
      <c r="I16" s="20"/>
    </row>
    <row r="17" spans="1:9">
      <c r="A17" s="23" t="s">
        <v>359</v>
      </c>
      <c r="B17" s="23" t="s">
        <v>346</v>
      </c>
      <c r="C17" s="23">
        <v>1370</v>
      </c>
      <c r="D17" s="20">
        <f>C17*C5</f>
        <v>3082500</v>
      </c>
      <c r="E17" s="23">
        <v>0</v>
      </c>
      <c r="F17" s="20"/>
      <c r="G17" s="20">
        <f t="shared" si="1"/>
        <v>0</v>
      </c>
      <c r="H17" s="20">
        <f t="shared" si="0"/>
        <v>3082500</v>
      </c>
      <c r="I17" s="20"/>
    </row>
    <row r="18" spans="1:9">
      <c r="A18" s="23" t="s">
        <v>215</v>
      </c>
      <c r="B18" s="23" t="s">
        <v>266</v>
      </c>
      <c r="C18" s="23">
        <v>460</v>
      </c>
      <c r="D18" s="20">
        <f t="shared" ref="D18:D29" si="2">C18*C$5</f>
        <v>1035000</v>
      </c>
      <c r="E18" s="23">
        <v>0</v>
      </c>
      <c r="G18" s="20">
        <f t="shared" si="1"/>
        <v>0</v>
      </c>
      <c r="H18" s="20">
        <f t="shared" si="0"/>
        <v>1035000</v>
      </c>
    </row>
    <row r="19" spans="1:9">
      <c r="A19" s="23" t="s">
        <v>271</v>
      </c>
      <c r="B19" s="23" t="s">
        <v>346</v>
      </c>
      <c r="C19" s="23">
        <v>800</v>
      </c>
      <c r="D19" s="20">
        <f t="shared" si="2"/>
        <v>1800000</v>
      </c>
      <c r="E19" s="23">
        <v>0</v>
      </c>
      <c r="G19" s="20">
        <f t="shared" si="1"/>
        <v>0</v>
      </c>
      <c r="H19" s="20">
        <f t="shared" si="0"/>
        <v>1800000</v>
      </c>
    </row>
    <row r="20" spans="1:9">
      <c r="A20" s="23" t="s">
        <v>147</v>
      </c>
      <c r="B20" s="23" t="s">
        <v>346</v>
      </c>
      <c r="C20" s="23">
        <v>1760</v>
      </c>
      <c r="D20" s="20">
        <f t="shared" si="2"/>
        <v>3960000</v>
      </c>
      <c r="E20" s="23">
        <v>0</v>
      </c>
      <c r="G20" s="20">
        <f t="shared" si="1"/>
        <v>0</v>
      </c>
      <c r="H20" s="20">
        <f t="shared" si="0"/>
        <v>3960000</v>
      </c>
    </row>
    <row r="21" spans="1:9">
      <c r="A21" s="23" t="s">
        <v>165</v>
      </c>
      <c r="B21" s="23" t="s">
        <v>346</v>
      </c>
      <c r="C21" s="23">
        <v>610</v>
      </c>
      <c r="D21" s="20">
        <f t="shared" si="2"/>
        <v>1372500</v>
      </c>
      <c r="E21" s="23">
        <v>2</v>
      </c>
      <c r="F21" t="s">
        <v>343</v>
      </c>
      <c r="G21" s="20">
        <f>E21*C8</f>
        <v>1400000</v>
      </c>
      <c r="H21" s="20">
        <f t="shared" si="0"/>
        <v>2772500</v>
      </c>
    </row>
    <row r="22" spans="1:9">
      <c r="A22" s="23" t="s">
        <v>240</v>
      </c>
      <c r="B22" s="23" t="s">
        <v>346</v>
      </c>
      <c r="C22" s="23">
        <v>600</v>
      </c>
      <c r="D22" s="23">
        <f t="shared" si="2"/>
        <v>1350000</v>
      </c>
      <c r="E22" s="23">
        <v>0</v>
      </c>
      <c r="G22" s="20">
        <f t="shared" si="1"/>
        <v>0</v>
      </c>
      <c r="H22" s="20">
        <f t="shared" ref="H22:H63" si="3">D22+G22</f>
        <v>1350000</v>
      </c>
    </row>
    <row r="23" spans="1:9">
      <c r="A23" s="23" t="s">
        <v>287</v>
      </c>
      <c r="B23" s="23" t="s">
        <v>346</v>
      </c>
      <c r="C23" s="23">
        <v>440</v>
      </c>
      <c r="D23" s="23">
        <f t="shared" si="2"/>
        <v>990000</v>
      </c>
      <c r="E23" s="23">
        <v>0</v>
      </c>
      <c r="G23" s="20">
        <f t="shared" si="1"/>
        <v>0</v>
      </c>
      <c r="H23" s="20">
        <f t="shared" si="3"/>
        <v>990000</v>
      </c>
    </row>
    <row r="24" spans="1:9">
      <c r="A24" s="23" t="s">
        <v>295</v>
      </c>
      <c r="B24" s="23" t="s">
        <v>346</v>
      </c>
      <c r="C24" s="23">
        <v>460</v>
      </c>
      <c r="D24" s="23">
        <f t="shared" si="2"/>
        <v>1035000</v>
      </c>
      <c r="E24" s="23">
        <v>0</v>
      </c>
      <c r="G24" s="20">
        <f t="shared" si="1"/>
        <v>0</v>
      </c>
      <c r="H24" s="20">
        <f t="shared" si="3"/>
        <v>1035000</v>
      </c>
    </row>
    <row r="25" spans="1:9">
      <c r="A25" s="23" t="s">
        <v>369</v>
      </c>
      <c r="B25" s="23" t="s">
        <v>370</v>
      </c>
      <c r="C25" s="23">
        <v>750</v>
      </c>
      <c r="D25" s="23">
        <f t="shared" si="2"/>
        <v>1687500</v>
      </c>
      <c r="E25" s="23">
        <v>0</v>
      </c>
      <c r="G25" s="20">
        <f t="shared" si="1"/>
        <v>0</v>
      </c>
      <c r="H25" s="20">
        <f t="shared" si="3"/>
        <v>1687500</v>
      </c>
    </row>
    <row r="26" spans="1:9">
      <c r="A26" s="23" t="s">
        <v>373</v>
      </c>
      <c r="B26" s="23" t="s">
        <v>266</v>
      </c>
      <c r="C26" s="23">
        <v>600</v>
      </c>
      <c r="D26" s="23">
        <f t="shared" si="2"/>
        <v>1350000</v>
      </c>
      <c r="E26" s="23">
        <v>0</v>
      </c>
      <c r="G26" s="20">
        <f t="shared" si="1"/>
        <v>0</v>
      </c>
      <c r="H26" s="20">
        <f t="shared" si="3"/>
        <v>1350000</v>
      </c>
    </row>
    <row r="27" spans="1:9">
      <c r="A27" s="23" t="s">
        <v>223</v>
      </c>
      <c r="B27" s="23" t="s">
        <v>346</v>
      </c>
      <c r="C27" s="23">
        <v>230</v>
      </c>
      <c r="D27" s="23">
        <f t="shared" si="2"/>
        <v>517500</v>
      </c>
      <c r="E27" s="23">
        <v>0</v>
      </c>
      <c r="G27" s="20">
        <f t="shared" si="1"/>
        <v>0</v>
      </c>
      <c r="H27" s="20">
        <f t="shared" si="3"/>
        <v>517500</v>
      </c>
    </row>
    <row r="28" spans="1:9">
      <c r="A28" s="23" t="s">
        <v>227</v>
      </c>
      <c r="B28" s="23" t="s">
        <v>346</v>
      </c>
      <c r="C28" s="23">
        <v>1750</v>
      </c>
      <c r="D28" s="23">
        <f t="shared" si="2"/>
        <v>3937500</v>
      </c>
      <c r="E28" s="23">
        <v>0</v>
      </c>
      <c r="G28" s="20">
        <f t="shared" si="1"/>
        <v>0</v>
      </c>
      <c r="H28" s="20">
        <f t="shared" si="3"/>
        <v>3937500</v>
      </c>
    </row>
    <row r="29" spans="1:9">
      <c r="A29" s="23" t="s">
        <v>232</v>
      </c>
      <c r="B29" s="23" t="s">
        <v>346</v>
      </c>
      <c r="C29" s="23">
        <v>930</v>
      </c>
      <c r="D29" s="23">
        <f t="shared" si="2"/>
        <v>2092500</v>
      </c>
      <c r="E29" s="23">
        <v>0</v>
      </c>
      <c r="G29" s="20">
        <f t="shared" si="1"/>
        <v>0</v>
      </c>
      <c r="H29" s="20">
        <f t="shared" si="3"/>
        <v>2092500</v>
      </c>
    </row>
    <row r="30" spans="1:9">
      <c r="A30" s="23" t="s">
        <v>232</v>
      </c>
      <c r="B30" s="23" t="s">
        <v>233</v>
      </c>
      <c r="C30" s="23">
        <v>360</v>
      </c>
      <c r="D30" s="23">
        <f>C30*C$4</f>
        <v>675000</v>
      </c>
      <c r="E30">
        <v>0</v>
      </c>
      <c r="G30" s="20">
        <f t="shared" si="1"/>
        <v>0</v>
      </c>
      <c r="H30" s="20">
        <f t="shared" si="3"/>
        <v>675000</v>
      </c>
    </row>
    <row r="31" spans="1:9">
      <c r="A31" s="23" t="s">
        <v>108</v>
      </c>
      <c r="B31" s="23" t="s">
        <v>251</v>
      </c>
      <c r="C31" s="23">
        <v>430</v>
      </c>
      <c r="D31" s="23">
        <f>C31*C$4</f>
        <v>806250</v>
      </c>
      <c r="E31">
        <v>0</v>
      </c>
      <c r="G31" s="20">
        <f t="shared" si="1"/>
        <v>0</v>
      </c>
      <c r="H31" s="20">
        <f t="shared" si="3"/>
        <v>806250</v>
      </c>
    </row>
    <row r="32" spans="1:9">
      <c r="A32" s="23" t="s">
        <v>257</v>
      </c>
      <c r="B32" s="23" t="s">
        <v>251</v>
      </c>
      <c r="C32" s="23">
        <v>1400</v>
      </c>
      <c r="D32" s="23">
        <f t="shared" ref="D32" si="4">C32*C$4</f>
        <v>2625000</v>
      </c>
      <c r="E32">
        <v>0</v>
      </c>
      <c r="G32" s="20">
        <f t="shared" si="1"/>
        <v>0</v>
      </c>
      <c r="H32" s="20">
        <f t="shared" si="3"/>
        <v>2625000</v>
      </c>
    </row>
    <row r="33" spans="1:8">
      <c r="A33" s="23" t="s">
        <v>124</v>
      </c>
      <c r="B33" s="23" t="s">
        <v>125</v>
      </c>
      <c r="C33" s="23">
        <v>2830</v>
      </c>
      <c r="D33" s="23">
        <f t="shared" ref="D33:D39" si="5">C33*C$5</f>
        <v>6367500</v>
      </c>
      <c r="E33">
        <v>0</v>
      </c>
      <c r="G33" s="20">
        <f t="shared" si="1"/>
        <v>0</v>
      </c>
      <c r="H33" s="20">
        <f t="shared" si="3"/>
        <v>6367500</v>
      </c>
    </row>
    <row r="34" spans="1:8">
      <c r="A34" s="23" t="s">
        <v>131</v>
      </c>
      <c r="B34" s="23" t="s">
        <v>370</v>
      </c>
      <c r="C34" s="23">
        <v>1690</v>
      </c>
      <c r="D34" s="23">
        <f t="shared" si="5"/>
        <v>3802500</v>
      </c>
      <c r="E34">
        <v>0</v>
      </c>
      <c r="G34" s="20">
        <f t="shared" si="1"/>
        <v>0</v>
      </c>
      <c r="H34" s="20">
        <f t="shared" si="3"/>
        <v>3802500</v>
      </c>
    </row>
    <row r="35" spans="1:8">
      <c r="A35" s="23" t="s">
        <v>47</v>
      </c>
      <c r="B35" s="23" t="s">
        <v>48</v>
      </c>
      <c r="C35" s="23">
        <v>1160</v>
      </c>
      <c r="D35" s="23">
        <f t="shared" si="5"/>
        <v>2610000</v>
      </c>
      <c r="E35">
        <v>0</v>
      </c>
      <c r="G35" s="20">
        <f t="shared" si="1"/>
        <v>0</v>
      </c>
      <c r="H35" s="20">
        <f t="shared" si="3"/>
        <v>2610000</v>
      </c>
    </row>
    <row r="36" spans="1:8">
      <c r="A36" s="23" t="s">
        <v>62</v>
      </c>
      <c r="B36" s="23" t="s">
        <v>63</v>
      </c>
      <c r="C36" s="23">
        <v>650</v>
      </c>
      <c r="D36" s="23">
        <f t="shared" si="5"/>
        <v>1462500</v>
      </c>
      <c r="E36">
        <v>0</v>
      </c>
      <c r="G36" s="20">
        <f t="shared" si="1"/>
        <v>0</v>
      </c>
      <c r="H36" s="20">
        <f t="shared" si="3"/>
        <v>1462500</v>
      </c>
    </row>
    <row r="37" spans="1:8">
      <c r="A37" s="23" t="s">
        <v>70</v>
      </c>
      <c r="B37" s="23" t="s">
        <v>63</v>
      </c>
      <c r="C37" s="23">
        <v>1950</v>
      </c>
      <c r="D37" s="23">
        <f t="shared" si="5"/>
        <v>4387500</v>
      </c>
      <c r="E37">
        <v>0</v>
      </c>
      <c r="G37" s="20">
        <f t="shared" si="1"/>
        <v>0</v>
      </c>
      <c r="H37" s="20">
        <f t="shared" si="3"/>
        <v>4387500</v>
      </c>
    </row>
    <row r="38" spans="1:8">
      <c r="A38" s="23" t="s">
        <v>17</v>
      </c>
      <c r="B38" s="23" t="s">
        <v>20</v>
      </c>
      <c r="C38" s="23">
        <v>7040</v>
      </c>
      <c r="D38" s="23">
        <f t="shared" si="5"/>
        <v>15840000</v>
      </c>
      <c r="E38">
        <v>2</v>
      </c>
      <c r="F38" t="s">
        <v>458</v>
      </c>
      <c r="G38" s="20">
        <f>E38*C8</f>
        <v>1400000</v>
      </c>
      <c r="H38" s="20">
        <f t="shared" si="3"/>
        <v>17240000</v>
      </c>
    </row>
    <row r="39" spans="1:8">
      <c r="A39" s="23" t="s">
        <v>453</v>
      </c>
      <c r="B39" s="23" t="s">
        <v>455</v>
      </c>
      <c r="C39">
        <v>800</v>
      </c>
      <c r="D39" s="23">
        <f t="shared" si="5"/>
        <v>1800000</v>
      </c>
      <c r="E39">
        <v>2</v>
      </c>
      <c r="F39" t="s">
        <v>457</v>
      </c>
      <c r="G39" s="20">
        <f>E39*C8</f>
        <v>1400000</v>
      </c>
      <c r="H39" s="20">
        <f t="shared" si="3"/>
        <v>3200000</v>
      </c>
    </row>
    <row r="40" spans="1:8">
      <c r="A40" s="23" t="s">
        <v>456</v>
      </c>
      <c r="B40" s="23" t="s">
        <v>454</v>
      </c>
      <c r="C40">
        <v>800</v>
      </c>
      <c r="D40" s="23">
        <f>C40*C$3</f>
        <v>800000</v>
      </c>
      <c r="E40">
        <v>0</v>
      </c>
      <c r="G40" s="20">
        <f t="shared" si="1"/>
        <v>0</v>
      </c>
      <c r="H40" s="20">
        <f t="shared" si="3"/>
        <v>800000</v>
      </c>
    </row>
    <row r="41" spans="1:8">
      <c r="A41" s="23" t="s">
        <v>472</v>
      </c>
      <c r="B41" s="23" t="s">
        <v>481</v>
      </c>
      <c r="C41">
        <v>6950</v>
      </c>
      <c r="D41" s="23">
        <f>C41*C$4</f>
        <v>13031250</v>
      </c>
      <c r="E41">
        <v>0</v>
      </c>
      <c r="G41" s="20">
        <f t="shared" si="1"/>
        <v>0</v>
      </c>
      <c r="H41" s="20">
        <f t="shared" si="3"/>
        <v>13031250</v>
      </c>
    </row>
    <row r="42" spans="1:8">
      <c r="A42" s="23" t="s">
        <v>480</v>
      </c>
      <c r="B42" s="23" t="s">
        <v>482</v>
      </c>
      <c r="C42">
        <v>1000</v>
      </c>
      <c r="D42" s="23">
        <f>C42*C$5</f>
        <v>2250000</v>
      </c>
      <c r="E42">
        <v>0</v>
      </c>
      <c r="G42" s="20">
        <f t="shared" si="1"/>
        <v>0</v>
      </c>
      <c r="H42" s="20">
        <f t="shared" si="3"/>
        <v>2250000</v>
      </c>
    </row>
    <row r="43" spans="1:8">
      <c r="A43" s="23" t="s">
        <v>336</v>
      </c>
      <c r="B43" s="23" t="s">
        <v>482</v>
      </c>
      <c r="C43">
        <v>3520</v>
      </c>
      <c r="D43" s="23">
        <f>C43*C$5</f>
        <v>7920000</v>
      </c>
      <c r="E43">
        <v>0</v>
      </c>
      <c r="G43" s="20">
        <f t="shared" si="1"/>
        <v>0</v>
      </c>
      <c r="H43" s="20">
        <f t="shared" si="3"/>
        <v>7920000</v>
      </c>
    </row>
    <row r="44" spans="1:8">
      <c r="A44" s="23" t="s">
        <v>421</v>
      </c>
      <c r="B44" s="23" t="s">
        <v>482</v>
      </c>
      <c r="C44">
        <v>1180</v>
      </c>
      <c r="D44" s="23">
        <f t="shared" ref="D44" si="6">C44*C$5</f>
        <v>2655000</v>
      </c>
      <c r="E44">
        <v>0</v>
      </c>
      <c r="G44" s="20">
        <f t="shared" si="1"/>
        <v>0</v>
      </c>
      <c r="H44" s="20">
        <f t="shared" si="3"/>
        <v>2655000</v>
      </c>
    </row>
    <row r="45" spans="1:8">
      <c r="A45" s="23" t="s">
        <v>422</v>
      </c>
      <c r="B45" s="23" t="s">
        <v>423</v>
      </c>
      <c r="C45">
        <v>2000</v>
      </c>
      <c r="D45" s="23">
        <f>C45*C$4</f>
        <v>3750000</v>
      </c>
      <c r="E45">
        <v>0</v>
      </c>
      <c r="G45" s="20">
        <f t="shared" si="1"/>
        <v>0</v>
      </c>
      <c r="H45" s="20">
        <f t="shared" si="3"/>
        <v>3750000</v>
      </c>
    </row>
    <row r="46" spans="1:8">
      <c r="A46" s="23" t="s">
        <v>432</v>
      </c>
      <c r="B46" s="23" t="s">
        <v>433</v>
      </c>
      <c r="C46">
        <v>5600</v>
      </c>
      <c r="D46" s="23">
        <f>C46*C$4</f>
        <v>10500000</v>
      </c>
      <c r="E46">
        <v>0</v>
      </c>
      <c r="G46" s="20">
        <f t="shared" si="1"/>
        <v>0</v>
      </c>
      <c r="H46" s="20">
        <f t="shared" si="3"/>
        <v>10500000</v>
      </c>
    </row>
    <row r="47" spans="1:8">
      <c r="A47" s="23" t="s">
        <v>441</v>
      </c>
      <c r="B47" s="23" t="s">
        <v>442</v>
      </c>
      <c r="C47">
        <v>1660</v>
      </c>
      <c r="D47" s="23">
        <f>C47*C$5</f>
        <v>3735000</v>
      </c>
      <c r="E47">
        <v>0</v>
      </c>
      <c r="G47" s="20">
        <f t="shared" si="1"/>
        <v>0</v>
      </c>
      <c r="H47" s="20">
        <f t="shared" si="3"/>
        <v>3735000</v>
      </c>
    </row>
    <row r="48" spans="1:8">
      <c r="A48" s="23" t="s">
        <v>508</v>
      </c>
      <c r="B48" s="23" t="s">
        <v>442</v>
      </c>
      <c r="C48">
        <v>680</v>
      </c>
      <c r="D48" s="23">
        <f t="shared" ref="D48" si="7">C48*C$5</f>
        <v>1530000</v>
      </c>
      <c r="E48">
        <v>0</v>
      </c>
      <c r="G48" s="20">
        <f t="shared" si="1"/>
        <v>0</v>
      </c>
      <c r="H48" s="20">
        <f t="shared" si="3"/>
        <v>1530000</v>
      </c>
    </row>
    <row r="49" spans="1:8">
      <c r="A49" s="23" t="s">
        <v>509</v>
      </c>
      <c r="B49" s="23" t="s">
        <v>510</v>
      </c>
      <c r="C49">
        <v>1520</v>
      </c>
      <c r="D49" s="23">
        <f>C49*C$4</f>
        <v>2850000</v>
      </c>
      <c r="E49">
        <v>0</v>
      </c>
      <c r="G49" s="20">
        <f t="shared" si="1"/>
        <v>0</v>
      </c>
      <c r="H49" s="20">
        <f t="shared" si="3"/>
        <v>2850000</v>
      </c>
    </row>
    <row r="50" spans="1:8">
      <c r="A50" s="23" t="s">
        <v>514</v>
      </c>
      <c r="B50" s="23" t="s">
        <v>518</v>
      </c>
      <c r="C50">
        <v>2300</v>
      </c>
      <c r="D50" s="23">
        <f>C50*C$5</f>
        <v>5175000</v>
      </c>
      <c r="E50">
        <v>0</v>
      </c>
      <c r="G50" s="20">
        <f t="shared" si="1"/>
        <v>0</v>
      </c>
      <c r="H50" s="20">
        <f t="shared" si="3"/>
        <v>5175000</v>
      </c>
    </row>
    <row r="51" spans="1:8">
      <c r="A51" s="23" t="s">
        <v>521</v>
      </c>
      <c r="B51" s="23" t="s">
        <v>510</v>
      </c>
      <c r="C51">
        <v>1580</v>
      </c>
      <c r="D51" s="23">
        <f>C51*C$4</f>
        <v>2962500</v>
      </c>
      <c r="E51">
        <v>3</v>
      </c>
      <c r="F51" t="s">
        <v>457</v>
      </c>
      <c r="G51" s="20">
        <f>E51*C8</f>
        <v>2100000</v>
      </c>
      <c r="H51" s="20">
        <f t="shared" si="3"/>
        <v>5062500</v>
      </c>
    </row>
    <row r="52" spans="1:8">
      <c r="A52" s="23" t="s">
        <v>542</v>
      </c>
      <c r="B52" s="23" t="s">
        <v>544</v>
      </c>
      <c r="C52">
        <v>1780</v>
      </c>
      <c r="D52" s="23">
        <f t="shared" ref="D52:D60" si="8">C52*C$5</f>
        <v>4005000</v>
      </c>
      <c r="E52">
        <v>2</v>
      </c>
      <c r="F52" t="s">
        <v>457</v>
      </c>
      <c r="G52" s="20">
        <f>E52*C8</f>
        <v>1400000</v>
      </c>
      <c r="H52" s="20">
        <f t="shared" si="3"/>
        <v>5405000</v>
      </c>
    </row>
    <row r="53" spans="1:8">
      <c r="A53" s="23" t="s">
        <v>551</v>
      </c>
      <c r="B53" s="23" t="s">
        <v>552</v>
      </c>
      <c r="C53">
        <v>1420</v>
      </c>
      <c r="D53" s="23">
        <f t="shared" si="8"/>
        <v>3195000</v>
      </c>
      <c r="E53">
        <v>0</v>
      </c>
      <c r="H53" s="20">
        <f t="shared" si="3"/>
        <v>3195000</v>
      </c>
    </row>
    <row r="54" spans="1:8">
      <c r="A54" s="23" t="s">
        <v>609</v>
      </c>
      <c r="B54" s="23" t="s">
        <v>518</v>
      </c>
      <c r="C54">
        <v>4690</v>
      </c>
      <c r="D54" s="23">
        <f t="shared" si="8"/>
        <v>10552500</v>
      </c>
      <c r="E54">
        <v>2</v>
      </c>
      <c r="F54" t="s">
        <v>457</v>
      </c>
      <c r="G54">
        <f>2*C8</f>
        <v>1400000</v>
      </c>
      <c r="H54" s="20">
        <f t="shared" si="3"/>
        <v>11952500</v>
      </c>
    </row>
    <row r="55" spans="1:8">
      <c r="A55" s="23" t="s">
        <v>485</v>
      </c>
      <c r="B55" s="23" t="s">
        <v>486</v>
      </c>
      <c r="C55">
        <v>22300</v>
      </c>
      <c r="D55" s="23">
        <f t="shared" si="8"/>
        <v>50175000</v>
      </c>
      <c r="E55">
        <v>0</v>
      </c>
      <c r="H55" s="20">
        <f t="shared" si="3"/>
        <v>50175000</v>
      </c>
    </row>
    <row r="56" spans="1:8">
      <c r="A56" s="23" t="s">
        <v>497</v>
      </c>
      <c r="B56" s="23" t="s">
        <v>498</v>
      </c>
      <c r="C56">
        <v>1300</v>
      </c>
      <c r="D56" s="23">
        <f t="shared" si="8"/>
        <v>2925000</v>
      </c>
      <c r="E56">
        <v>0</v>
      </c>
      <c r="H56" s="20">
        <f t="shared" si="3"/>
        <v>2925000</v>
      </c>
    </row>
    <row r="57" spans="1:8">
      <c r="A57" s="23" t="s">
        <v>565</v>
      </c>
      <c r="B57" s="23" t="s">
        <v>518</v>
      </c>
      <c r="C57">
        <v>1050</v>
      </c>
      <c r="D57" s="23">
        <f t="shared" si="8"/>
        <v>2362500</v>
      </c>
      <c r="E57">
        <v>0</v>
      </c>
      <c r="H57" s="20">
        <f t="shared" si="3"/>
        <v>2362500</v>
      </c>
    </row>
    <row r="58" spans="1:8">
      <c r="A58" s="23" t="s">
        <v>571</v>
      </c>
      <c r="B58" s="23" t="s">
        <v>572</v>
      </c>
      <c r="C58">
        <v>1600</v>
      </c>
      <c r="D58" s="23">
        <f t="shared" si="8"/>
        <v>3600000</v>
      </c>
      <c r="E58">
        <v>0</v>
      </c>
      <c r="H58" s="20">
        <f t="shared" si="3"/>
        <v>3600000</v>
      </c>
    </row>
    <row r="59" spans="1:8">
      <c r="A59" s="23" t="s">
        <v>577</v>
      </c>
      <c r="B59" s="23" t="s">
        <v>572</v>
      </c>
      <c r="C59">
        <v>1100</v>
      </c>
      <c r="D59" s="23">
        <f t="shared" si="8"/>
        <v>2475000</v>
      </c>
      <c r="E59">
        <v>0</v>
      </c>
      <c r="H59" s="20">
        <f t="shared" si="3"/>
        <v>2475000</v>
      </c>
    </row>
    <row r="60" spans="1:8">
      <c r="A60" s="23" t="s">
        <v>584</v>
      </c>
      <c r="B60" s="23" t="s">
        <v>518</v>
      </c>
      <c r="C60">
        <v>450</v>
      </c>
      <c r="D60" s="23">
        <f t="shared" si="8"/>
        <v>1012500</v>
      </c>
      <c r="E60">
        <v>2</v>
      </c>
      <c r="F60" t="s">
        <v>587</v>
      </c>
      <c r="G60">
        <f>C9*E60</f>
        <v>3000000</v>
      </c>
      <c r="H60" s="20">
        <f t="shared" si="3"/>
        <v>4012500</v>
      </c>
    </row>
    <row r="61" spans="1:8">
      <c r="A61" s="23" t="s">
        <v>585</v>
      </c>
      <c r="B61" s="23" t="s">
        <v>586</v>
      </c>
      <c r="C61">
        <f>2250-450</f>
        <v>1800</v>
      </c>
      <c r="D61" s="23">
        <f>C61*C$6</f>
        <v>2700000</v>
      </c>
      <c r="E61">
        <v>0</v>
      </c>
      <c r="H61" s="20">
        <f t="shared" si="3"/>
        <v>2700000</v>
      </c>
    </row>
    <row r="62" spans="1:8">
      <c r="H62" s="20">
        <f t="shared" si="3"/>
        <v>0</v>
      </c>
    </row>
    <row r="63" spans="1:8">
      <c r="H63" s="20">
        <f t="shared" si="3"/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9"/>
  <sheetViews>
    <sheetView topLeftCell="A10" zoomScale="150" workbookViewId="0">
      <selection activeCell="E58" sqref="E58"/>
    </sheetView>
  </sheetViews>
  <sheetFormatPr baseColWidth="10" defaultRowHeight="13"/>
  <cols>
    <col min="1" max="1" width="17" bestFit="1" customWidth="1"/>
    <col min="2" max="2" width="12.28515625" customWidth="1"/>
  </cols>
  <sheetData>
    <row r="1" spans="1:5">
      <c r="A1" t="s">
        <v>387</v>
      </c>
    </row>
    <row r="3" spans="1:5">
      <c r="A3" t="s">
        <v>89</v>
      </c>
    </row>
    <row r="4" spans="1:5">
      <c r="A4" t="s">
        <v>468</v>
      </c>
      <c r="B4">
        <v>4000000</v>
      </c>
      <c r="C4" t="s">
        <v>39</v>
      </c>
    </row>
    <row r="5" spans="1:5">
      <c r="A5" t="s">
        <v>36</v>
      </c>
      <c r="B5">
        <v>2</v>
      </c>
      <c r="C5" t="s">
        <v>40</v>
      </c>
    </row>
    <row r="6" spans="1:5">
      <c r="A6" t="s">
        <v>37</v>
      </c>
      <c r="B6">
        <v>125</v>
      </c>
      <c r="C6" t="s">
        <v>41</v>
      </c>
    </row>
    <row r="14" spans="1:5">
      <c r="A14" t="s">
        <v>88</v>
      </c>
      <c r="B14" t="s">
        <v>43</v>
      </c>
      <c r="C14" t="s">
        <v>394</v>
      </c>
      <c r="D14" t="s">
        <v>316</v>
      </c>
      <c r="E14" t="s">
        <v>317</v>
      </c>
    </row>
    <row r="16" spans="1:5">
      <c r="A16" t="s">
        <v>42</v>
      </c>
      <c r="B16">
        <f>Overview!D6</f>
        <v>2180</v>
      </c>
      <c r="C16">
        <f t="shared" ref="C16:C57" si="0">(B$5+B$6)*B16</f>
        <v>276860</v>
      </c>
      <c r="D16">
        <f>2*B4</f>
        <v>8000000</v>
      </c>
      <c r="E16">
        <f t="shared" ref="E16:E24" si="1">C16+D16</f>
        <v>8276860</v>
      </c>
    </row>
    <row r="17" spans="1:5">
      <c r="A17" t="s">
        <v>35</v>
      </c>
      <c r="B17">
        <v>920</v>
      </c>
      <c r="C17">
        <f t="shared" si="0"/>
        <v>116840</v>
      </c>
      <c r="D17">
        <v>0</v>
      </c>
      <c r="E17">
        <f t="shared" si="1"/>
        <v>116840</v>
      </c>
    </row>
    <row r="18" spans="1:5">
      <c r="A18" t="s">
        <v>267</v>
      </c>
      <c r="B18">
        <v>1380</v>
      </c>
      <c r="C18">
        <f t="shared" si="0"/>
        <v>175260</v>
      </c>
      <c r="D18">
        <v>0</v>
      </c>
      <c r="E18">
        <f t="shared" si="1"/>
        <v>175260</v>
      </c>
    </row>
    <row r="19" spans="1:5">
      <c r="A19" t="s">
        <v>347</v>
      </c>
      <c r="B19">
        <v>5420</v>
      </c>
      <c r="C19">
        <f t="shared" si="0"/>
        <v>688340</v>
      </c>
      <c r="D19">
        <f>B4</f>
        <v>4000000</v>
      </c>
      <c r="E19">
        <f t="shared" si="1"/>
        <v>4688340</v>
      </c>
    </row>
    <row r="20" spans="1:5">
      <c r="A20" t="s">
        <v>205</v>
      </c>
      <c r="B20">
        <v>1370</v>
      </c>
      <c r="C20">
        <f t="shared" si="0"/>
        <v>173990</v>
      </c>
      <c r="D20">
        <v>0</v>
      </c>
      <c r="E20">
        <f t="shared" si="1"/>
        <v>173990</v>
      </c>
    </row>
    <row r="21" spans="1:5">
      <c r="A21" t="s">
        <v>216</v>
      </c>
      <c r="B21">
        <v>460</v>
      </c>
      <c r="C21">
        <f t="shared" si="0"/>
        <v>58420</v>
      </c>
      <c r="D21">
        <v>0</v>
      </c>
      <c r="E21">
        <f t="shared" si="1"/>
        <v>58420</v>
      </c>
    </row>
    <row r="22" spans="1:5">
      <c r="A22" t="s">
        <v>279</v>
      </c>
      <c r="B22">
        <v>800</v>
      </c>
      <c r="C22">
        <f t="shared" si="0"/>
        <v>101600</v>
      </c>
      <c r="D22">
        <v>0</v>
      </c>
      <c r="E22">
        <f t="shared" si="1"/>
        <v>101600</v>
      </c>
    </row>
    <row r="23" spans="1:5">
      <c r="A23" t="s">
        <v>284</v>
      </c>
      <c r="B23">
        <v>1760</v>
      </c>
      <c r="C23">
        <f t="shared" si="0"/>
        <v>223520</v>
      </c>
      <c r="D23">
        <v>0</v>
      </c>
      <c r="E23">
        <f t="shared" si="1"/>
        <v>223520</v>
      </c>
    </row>
    <row r="24" spans="1:5">
      <c r="A24" t="s">
        <v>166</v>
      </c>
      <c r="B24">
        <v>610</v>
      </c>
      <c r="C24">
        <f t="shared" si="0"/>
        <v>77470</v>
      </c>
      <c r="D24">
        <f>1*B4</f>
        <v>4000000</v>
      </c>
      <c r="E24">
        <f t="shared" si="1"/>
        <v>4077470</v>
      </c>
    </row>
    <row r="25" spans="1:5">
      <c r="A25" t="s">
        <v>240</v>
      </c>
      <c r="B25">
        <v>600</v>
      </c>
      <c r="C25">
        <f t="shared" si="0"/>
        <v>76200</v>
      </c>
      <c r="D25">
        <v>0</v>
      </c>
      <c r="E25">
        <f t="shared" ref="E25:E49" si="2">C25+D25</f>
        <v>76200</v>
      </c>
    </row>
    <row r="26" spans="1:5">
      <c r="A26" t="s">
        <v>288</v>
      </c>
      <c r="B26">
        <v>440</v>
      </c>
      <c r="C26">
        <f t="shared" si="0"/>
        <v>55880</v>
      </c>
      <c r="E26">
        <f t="shared" si="2"/>
        <v>55880</v>
      </c>
    </row>
    <row r="27" spans="1:5">
      <c r="A27" t="s">
        <v>295</v>
      </c>
      <c r="B27">
        <v>460</v>
      </c>
      <c r="C27">
        <f t="shared" si="0"/>
        <v>58420</v>
      </c>
      <c r="E27">
        <f t="shared" si="2"/>
        <v>58420</v>
      </c>
    </row>
    <row r="28" spans="1:5">
      <c r="A28" t="s">
        <v>369</v>
      </c>
      <c r="B28">
        <v>750</v>
      </c>
      <c r="C28">
        <f t="shared" si="0"/>
        <v>95250</v>
      </c>
      <c r="E28">
        <f t="shared" si="2"/>
        <v>95250</v>
      </c>
    </row>
    <row r="29" spans="1:5">
      <c r="A29" t="s">
        <v>373</v>
      </c>
      <c r="B29">
        <v>600</v>
      </c>
      <c r="C29">
        <f t="shared" si="0"/>
        <v>76200</v>
      </c>
      <c r="E29">
        <f t="shared" si="2"/>
        <v>76200</v>
      </c>
    </row>
    <row r="30" spans="1:5">
      <c r="A30" t="s">
        <v>223</v>
      </c>
      <c r="B30">
        <v>230</v>
      </c>
      <c r="C30">
        <f t="shared" si="0"/>
        <v>29210</v>
      </c>
      <c r="E30">
        <f t="shared" si="2"/>
        <v>29210</v>
      </c>
    </row>
    <row r="31" spans="1:5">
      <c r="A31" t="s">
        <v>227</v>
      </c>
      <c r="B31">
        <v>1750</v>
      </c>
      <c r="C31">
        <f t="shared" si="0"/>
        <v>222250</v>
      </c>
      <c r="E31">
        <f t="shared" si="2"/>
        <v>222250</v>
      </c>
    </row>
    <row r="32" spans="1:5">
      <c r="A32" t="s">
        <v>232</v>
      </c>
      <c r="B32">
        <v>1290</v>
      </c>
      <c r="C32">
        <f t="shared" si="0"/>
        <v>163830</v>
      </c>
      <c r="E32">
        <f t="shared" si="2"/>
        <v>163830</v>
      </c>
    </row>
    <row r="33" spans="1:5">
      <c r="A33" t="s">
        <v>258</v>
      </c>
      <c r="B33">
        <v>430</v>
      </c>
      <c r="C33">
        <f t="shared" si="0"/>
        <v>54610</v>
      </c>
      <c r="E33">
        <f t="shared" si="2"/>
        <v>54610</v>
      </c>
    </row>
    <row r="34" spans="1:5">
      <c r="A34" t="s">
        <v>257</v>
      </c>
      <c r="B34">
        <v>1400</v>
      </c>
      <c r="C34">
        <f t="shared" si="0"/>
        <v>177800</v>
      </c>
      <c r="E34">
        <f t="shared" si="2"/>
        <v>177800</v>
      </c>
    </row>
    <row r="35" spans="1:5">
      <c r="A35" t="s">
        <v>124</v>
      </c>
      <c r="B35">
        <v>2830</v>
      </c>
      <c r="C35">
        <f t="shared" si="0"/>
        <v>359410</v>
      </c>
      <c r="E35">
        <f t="shared" si="2"/>
        <v>359410</v>
      </c>
    </row>
    <row r="36" spans="1:5">
      <c r="A36" t="s">
        <v>130</v>
      </c>
      <c r="B36">
        <v>1690</v>
      </c>
      <c r="C36">
        <f t="shared" si="0"/>
        <v>214630</v>
      </c>
      <c r="E36">
        <f t="shared" si="2"/>
        <v>214630</v>
      </c>
    </row>
    <row r="37" spans="1:5">
      <c r="A37" t="s">
        <v>193</v>
      </c>
      <c r="B37">
        <v>1160</v>
      </c>
      <c r="C37">
        <f t="shared" si="0"/>
        <v>147320</v>
      </c>
      <c r="E37">
        <f t="shared" si="2"/>
        <v>147320</v>
      </c>
    </row>
    <row r="38" spans="1:5">
      <c r="A38" t="s">
        <v>58</v>
      </c>
      <c r="B38">
        <v>650</v>
      </c>
      <c r="C38">
        <f t="shared" si="0"/>
        <v>82550</v>
      </c>
      <c r="E38">
        <f t="shared" si="2"/>
        <v>82550</v>
      </c>
    </row>
    <row r="39" spans="1:5">
      <c r="A39" t="s">
        <v>69</v>
      </c>
      <c r="B39">
        <v>1950</v>
      </c>
      <c r="C39">
        <f t="shared" si="0"/>
        <v>247650</v>
      </c>
      <c r="D39">
        <f>B4</f>
        <v>4000000</v>
      </c>
      <c r="E39">
        <f t="shared" si="2"/>
        <v>4247650</v>
      </c>
    </row>
    <row r="40" spans="1:5">
      <c r="A40" t="s">
        <v>451</v>
      </c>
      <c r="B40">
        <v>800</v>
      </c>
      <c r="C40">
        <f t="shared" si="0"/>
        <v>101600</v>
      </c>
      <c r="D40">
        <f>B4</f>
        <v>4000000</v>
      </c>
      <c r="E40">
        <f t="shared" si="2"/>
        <v>4101600</v>
      </c>
    </row>
    <row r="41" spans="1:5">
      <c r="A41" t="s">
        <v>480</v>
      </c>
      <c r="B41">
        <v>7950</v>
      </c>
      <c r="C41">
        <f t="shared" si="0"/>
        <v>1009650</v>
      </c>
      <c r="E41">
        <f t="shared" si="2"/>
        <v>1009650</v>
      </c>
    </row>
    <row r="42" spans="1:5">
      <c r="A42" t="s">
        <v>553</v>
      </c>
      <c r="B42">
        <v>3520</v>
      </c>
      <c r="C42">
        <f t="shared" si="0"/>
        <v>447040</v>
      </c>
      <c r="E42">
        <f t="shared" si="2"/>
        <v>447040</v>
      </c>
    </row>
    <row r="43" spans="1:5">
      <c r="A43" t="s">
        <v>417</v>
      </c>
      <c r="B43">
        <v>3180</v>
      </c>
      <c r="C43">
        <f t="shared" si="0"/>
        <v>403860</v>
      </c>
      <c r="E43">
        <f t="shared" si="2"/>
        <v>403860</v>
      </c>
    </row>
    <row r="44" spans="1:5">
      <c r="A44" t="s">
        <v>434</v>
      </c>
      <c r="B44">
        <v>5600</v>
      </c>
      <c r="C44">
        <f t="shared" si="0"/>
        <v>711200</v>
      </c>
      <c r="E44">
        <f t="shared" si="2"/>
        <v>711200</v>
      </c>
    </row>
    <row r="45" spans="1:5">
      <c r="A45" t="s">
        <v>440</v>
      </c>
      <c r="B45">
        <v>1660</v>
      </c>
      <c r="C45">
        <f t="shared" si="0"/>
        <v>210820</v>
      </c>
      <c r="E45">
        <f t="shared" si="2"/>
        <v>210820</v>
      </c>
    </row>
    <row r="46" spans="1:5">
      <c r="A46" t="s">
        <v>508</v>
      </c>
      <c r="B46">
        <v>2200</v>
      </c>
      <c r="C46">
        <f t="shared" si="0"/>
        <v>279400</v>
      </c>
      <c r="E46">
        <f t="shared" si="2"/>
        <v>279400</v>
      </c>
    </row>
    <row r="47" spans="1:5">
      <c r="A47" t="s">
        <v>514</v>
      </c>
      <c r="B47">
        <v>2300</v>
      </c>
      <c r="C47">
        <f t="shared" si="0"/>
        <v>292100</v>
      </c>
      <c r="E47">
        <f t="shared" si="2"/>
        <v>292100</v>
      </c>
    </row>
    <row r="48" spans="1:5">
      <c r="A48" t="s">
        <v>522</v>
      </c>
      <c r="B48">
        <v>1580</v>
      </c>
      <c r="C48">
        <f t="shared" si="0"/>
        <v>200660</v>
      </c>
      <c r="D48">
        <f>2*B4</f>
        <v>8000000</v>
      </c>
      <c r="E48">
        <f t="shared" si="2"/>
        <v>8200660</v>
      </c>
    </row>
    <row r="49" spans="1:5">
      <c r="A49" t="s">
        <v>545</v>
      </c>
      <c r="B49">
        <v>1780</v>
      </c>
      <c r="C49">
        <f t="shared" si="0"/>
        <v>226060</v>
      </c>
      <c r="D49">
        <f>2*B4</f>
        <v>8000000</v>
      </c>
      <c r="E49">
        <f t="shared" si="2"/>
        <v>8226060</v>
      </c>
    </row>
    <row r="50" spans="1:5">
      <c r="A50" t="s">
        <v>551</v>
      </c>
      <c r="B50">
        <v>1420</v>
      </c>
      <c r="C50">
        <f t="shared" si="0"/>
        <v>180340</v>
      </c>
      <c r="E50">
        <f t="shared" ref="E50:E59" si="3">C50+D50</f>
        <v>180340</v>
      </c>
    </row>
    <row r="51" spans="1:5">
      <c r="A51" t="s">
        <v>608</v>
      </c>
      <c r="B51">
        <v>4690</v>
      </c>
      <c r="C51">
        <f t="shared" si="0"/>
        <v>595630</v>
      </c>
      <c r="D51">
        <f>2*B4</f>
        <v>8000000</v>
      </c>
      <c r="E51">
        <f t="shared" si="3"/>
        <v>8595630</v>
      </c>
    </row>
    <row r="52" spans="1:5">
      <c r="A52" t="s">
        <v>487</v>
      </c>
      <c r="B52">
        <v>22300</v>
      </c>
      <c r="C52">
        <f t="shared" si="0"/>
        <v>2832100</v>
      </c>
      <c r="E52">
        <f t="shared" si="3"/>
        <v>2832100</v>
      </c>
    </row>
    <row r="53" spans="1:5">
      <c r="A53" t="s">
        <v>499</v>
      </c>
      <c r="B53">
        <v>1300</v>
      </c>
      <c r="C53">
        <f t="shared" si="0"/>
        <v>165100</v>
      </c>
      <c r="E53">
        <f t="shared" si="3"/>
        <v>165100</v>
      </c>
    </row>
    <row r="54" spans="1:5">
      <c r="A54" t="s">
        <v>565</v>
      </c>
      <c r="B54">
        <v>1050</v>
      </c>
      <c r="C54">
        <f t="shared" si="0"/>
        <v>133350</v>
      </c>
      <c r="E54">
        <f t="shared" si="3"/>
        <v>133350</v>
      </c>
    </row>
    <row r="55" spans="1:5">
      <c r="A55" t="s">
        <v>573</v>
      </c>
      <c r="B55">
        <v>1600</v>
      </c>
      <c r="C55">
        <f t="shared" si="0"/>
        <v>203200</v>
      </c>
      <c r="E55">
        <f t="shared" si="3"/>
        <v>203200</v>
      </c>
    </row>
    <row r="56" spans="1:5">
      <c r="A56" t="s">
        <v>581</v>
      </c>
      <c r="B56">
        <v>1100</v>
      </c>
      <c r="C56">
        <f t="shared" si="0"/>
        <v>139700</v>
      </c>
      <c r="E56">
        <f t="shared" si="3"/>
        <v>139700</v>
      </c>
    </row>
    <row r="57" spans="1:5">
      <c r="A57" t="s">
        <v>580</v>
      </c>
      <c r="B57">
        <v>2250</v>
      </c>
      <c r="C57">
        <f t="shared" si="0"/>
        <v>285750</v>
      </c>
      <c r="D57">
        <f>2*B4</f>
        <v>8000000</v>
      </c>
      <c r="E57">
        <f t="shared" si="3"/>
        <v>8285750</v>
      </c>
    </row>
    <row r="58" spans="1:5">
      <c r="E58">
        <f t="shared" si="3"/>
        <v>0</v>
      </c>
    </row>
    <row r="59" spans="1:5">
      <c r="E59">
        <f t="shared" si="3"/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29"/>
  <sheetViews>
    <sheetView zoomScale="150" workbookViewId="0">
      <pane xSplit="1" ySplit="23" topLeftCell="B107" activePane="bottomRight" state="frozen"/>
      <selection pane="topRight" activeCell="B1" sqref="B1"/>
      <selection pane="bottomLeft" activeCell="A24" sqref="A24"/>
      <selection pane="bottomRight" activeCell="F125" sqref="F125"/>
    </sheetView>
  </sheetViews>
  <sheetFormatPr baseColWidth="10" defaultRowHeight="13"/>
  <cols>
    <col min="1" max="1" width="30.140625" customWidth="1"/>
    <col min="2" max="2" width="26.140625" bestFit="1" customWidth="1"/>
    <col min="3" max="4" width="14.85546875" customWidth="1"/>
  </cols>
  <sheetData>
    <row r="1" spans="1:4">
      <c r="A1" t="s">
        <v>44</v>
      </c>
    </row>
    <row r="2" spans="1:4" ht="15">
      <c r="A2" s="26" t="s">
        <v>73</v>
      </c>
      <c r="B2" s="28" t="s">
        <v>393</v>
      </c>
      <c r="C2" s="26" t="s">
        <v>45</v>
      </c>
      <c r="D2" s="34"/>
    </row>
    <row r="3" spans="1:4" ht="15">
      <c r="A3" s="27" t="s">
        <v>46</v>
      </c>
      <c r="B3" s="29">
        <v>50</v>
      </c>
      <c r="C3" s="27" t="s">
        <v>173</v>
      </c>
      <c r="D3" s="35"/>
    </row>
    <row r="4" spans="1:4" ht="15">
      <c r="A4" s="27" t="s">
        <v>177</v>
      </c>
      <c r="B4" s="29">
        <v>250</v>
      </c>
      <c r="C4" s="27" t="s">
        <v>173</v>
      </c>
      <c r="D4" s="35"/>
    </row>
    <row r="5" spans="1:4" ht="15">
      <c r="A5" s="27" t="s">
        <v>178</v>
      </c>
      <c r="B5" s="29">
        <v>500</v>
      </c>
      <c r="C5" s="27" t="s">
        <v>173</v>
      </c>
      <c r="D5" s="35"/>
    </row>
    <row r="6" spans="1:4" ht="15">
      <c r="A6" s="27" t="s">
        <v>179</v>
      </c>
      <c r="B6" s="29">
        <v>15</v>
      </c>
      <c r="C6" s="27" t="s">
        <v>174</v>
      </c>
      <c r="D6" s="35"/>
    </row>
    <row r="7" spans="1:4" ht="15">
      <c r="A7" s="27" t="s">
        <v>180</v>
      </c>
      <c r="B7" s="29">
        <v>50</v>
      </c>
      <c r="C7" s="27" t="s">
        <v>174</v>
      </c>
      <c r="D7" s="35"/>
    </row>
    <row r="8" spans="1:4" ht="15">
      <c r="A8" s="27" t="s">
        <v>181</v>
      </c>
      <c r="B8" s="29">
        <v>100</v>
      </c>
      <c r="C8" s="27" t="s">
        <v>174</v>
      </c>
      <c r="D8" s="35"/>
    </row>
    <row r="9" spans="1:4" ht="15">
      <c r="A9" s="27" t="s">
        <v>182</v>
      </c>
      <c r="B9" s="29">
        <v>150</v>
      </c>
      <c r="C9" s="27" t="s">
        <v>174</v>
      </c>
      <c r="D9" s="35"/>
    </row>
    <row r="10" spans="1:4" ht="15">
      <c r="A10" s="27" t="s">
        <v>183</v>
      </c>
      <c r="B10" s="29">
        <v>350</v>
      </c>
      <c r="C10" s="27" t="s">
        <v>174</v>
      </c>
      <c r="D10" s="35"/>
    </row>
    <row r="11" spans="1:4" ht="15">
      <c r="A11" s="27" t="s">
        <v>184</v>
      </c>
      <c r="B11" s="29">
        <v>2500</v>
      </c>
      <c r="C11" s="27" t="s">
        <v>172</v>
      </c>
      <c r="D11" s="35"/>
    </row>
    <row r="12" spans="1:4" ht="15">
      <c r="A12" s="27" t="s">
        <v>185</v>
      </c>
      <c r="B12" s="29">
        <v>200</v>
      </c>
      <c r="C12" s="27" t="s">
        <v>175</v>
      </c>
      <c r="D12" s="35"/>
    </row>
    <row r="13" spans="1:4" ht="15">
      <c r="A13" s="27" t="s">
        <v>186</v>
      </c>
      <c r="B13" s="29">
        <v>4800</v>
      </c>
      <c r="C13" s="27" t="s">
        <v>174</v>
      </c>
      <c r="D13" s="35"/>
    </row>
    <row r="14" spans="1:4" ht="15">
      <c r="A14" s="27" t="s">
        <v>187</v>
      </c>
      <c r="B14" s="29">
        <v>180000</v>
      </c>
      <c r="C14" s="27" t="s">
        <v>38</v>
      </c>
      <c r="D14" s="35"/>
    </row>
    <row r="15" spans="1:4" ht="15">
      <c r="A15" s="27" t="s">
        <v>188</v>
      </c>
      <c r="B15" s="29">
        <v>350000</v>
      </c>
      <c r="C15" s="27" t="s">
        <v>38</v>
      </c>
      <c r="D15" s="35"/>
    </row>
    <row r="16" spans="1:4" ht="15">
      <c r="A16" s="27" t="s">
        <v>189</v>
      </c>
      <c r="B16" s="29">
        <v>700000</v>
      </c>
      <c r="C16" s="27" t="s">
        <v>38</v>
      </c>
      <c r="D16" s="35"/>
    </row>
    <row r="17" spans="1:6" ht="15">
      <c r="A17" s="27" t="s">
        <v>190</v>
      </c>
      <c r="B17" s="29">
        <v>500000</v>
      </c>
      <c r="C17" s="27" t="s">
        <v>38</v>
      </c>
      <c r="D17" s="35"/>
    </row>
    <row r="18" spans="1:6" ht="15">
      <c r="A18" s="27" t="s">
        <v>191</v>
      </c>
      <c r="B18" s="29">
        <v>1250000</v>
      </c>
      <c r="C18" s="27" t="s">
        <v>38</v>
      </c>
      <c r="D18" s="35"/>
    </row>
    <row r="19" spans="1:6" ht="15">
      <c r="A19" s="27" t="s">
        <v>192</v>
      </c>
      <c r="B19" s="29">
        <v>2500000</v>
      </c>
      <c r="C19" s="27" t="s">
        <v>38</v>
      </c>
      <c r="D19" s="35"/>
    </row>
    <row r="20" spans="1:6" ht="15">
      <c r="A20" s="27" t="s">
        <v>170</v>
      </c>
      <c r="B20" s="29">
        <v>5000000</v>
      </c>
      <c r="C20" s="27" t="s">
        <v>38</v>
      </c>
      <c r="D20" s="35"/>
    </row>
    <row r="21" spans="1:6" ht="15">
      <c r="A21" s="27" t="s">
        <v>31</v>
      </c>
      <c r="B21" s="29">
        <v>125</v>
      </c>
      <c r="C21" s="27" t="s">
        <v>175</v>
      </c>
      <c r="D21" s="35"/>
    </row>
    <row r="22" spans="1:6" ht="15">
      <c r="A22" s="27" t="s">
        <v>32</v>
      </c>
      <c r="B22" s="29">
        <v>575</v>
      </c>
      <c r="C22" s="27" t="s">
        <v>33</v>
      </c>
      <c r="D22" s="35"/>
    </row>
    <row r="23" spans="1:6" ht="15">
      <c r="A23" s="27" t="s">
        <v>171</v>
      </c>
      <c r="B23" s="29">
        <v>125</v>
      </c>
      <c r="C23" s="27" t="s">
        <v>175</v>
      </c>
      <c r="D23" s="35"/>
    </row>
    <row r="28" spans="1:6">
      <c r="A28" t="s">
        <v>176</v>
      </c>
      <c r="B28" t="s">
        <v>313</v>
      </c>
      <c r="C28" t="s">
        <v>312</v>
      </c>
      <c r="D28" t="s">
        <v>210</v>
      </c>
      <c r="E28" t="s">
        <v>314</v>
      </c>
      <c r="F28" t="s">
        <v>394</v>
      </c>
    </row>
    <row r="29" spans="1:6">
      <c r="A29" t="s">
        <v>207</v>
      </c>
      <c r="B29" t="str">
        <f>A23</f>
        <v>Site clearance and minor demolition</v>
      </c>
      <c r="C29">
        <v>2180</v>
      </c>
      <c r="D29" t="s">
        <v>211</v>
      </c>
      <c r="E29" s="30">
        <f>B23</f>
        <v>125</v>
      </c>
      <c r="F29">
        <f t="shared" ref="F29:F41" si="0">C29*E29</f>
        <v>272500</v>
      </c>
    </row>
    <row r="30" spans="1:6">
      <c r="A30" t="s">
        <v>207</v>
      </c>
      <c r="B30" t="str">
        <f>A22</f>
        <v>Utilities relocation (urban)</v>
      </c>
      <c r="C30">
        <v>2180</v>
      </c>
      <c r="D30" t="s">
        <v>338</v>
      </c>
      <c r="E30" s="30">
        <f>B22</f>
        <v>575</v>
      </c>
      <c r="F30">
        <f t="shared" si="0"/>
        <v>1253500</v>
      </c>
    </row>
    <row r="31" spans="1:6">
      <c r="A31" t="s">
        <v>347</v>
      </c>
      <c r="B31" t="s">
        <v>159</v>
      </c>
      <c r="C31">
        <v>1850</v>
      </c>
      <c r="D31" t="s">
        <v>160</v>
      </c>
      <c r="E31" s="30">
        <f>B12</f>
        <v>200</v>
      </c>
      <c r="F31">
        <f t="shared" si="0"/>
        <v>370000</v>
      </c>
    </row>
    <row r="32" spans="1:6">
      <c r="A32" t="s">
        <v>206</v>
      </c>
      <c r="B32" t="s">
        <v>208</v>
      </c>
      <c r="C32">
        <v>1370</v>
      </c>
      <c r="D32" t="s">
        <v>338</v>
      </c>
      <c r="E32" s="30">
        <f>B22</f>
        <v>575</v>
      </c>
      <c r="F32">
        <f t="shared" si="0"/>
        <v>787750</v>
      </c>
    </row>
    <row r="33" spans="1:6">
      <c r="A33" t="s">
        <v>206</v>
      </c>
      <c r="B33" t="s">
        <v>209</v>
      </c>
      <c r="C33">
        <f>4*400</f>
        <v>1600</v>
      </c>
      <c r="D33" t="s">
        <v>212</v>
      </c>
      <c r="E33" s="30">
        <f>B11</f>
        <v>2500</v>
      </c>
      <c r="F33">
        <f t="shared" si="0"/>
        <v>4000000</v>
      </c>
    </row>
    <row r="34" spans="1:6">
      <c r="A34" t="s">
        <v>206</v>
      </c>
      <c r="B34" t="s">
        <v>213</v>
      </c>
      <c r="C34">
        <v>1</v>
      </c>
      <c r="D34" t="s">
        <v>282</v>
      </c>
      <c r="E34" s="30">
        <f>B19</f>
        <v>2500000</v>
      </c>
      <c r="F34">
        <f t="shared" si="0"/>
        <v>2500000</v>
      </c>
    </row>
    <row r="35" spans="1:6">
      <c r="A35" t="s">
        <v>206</v>
      </c>
      <c r="B35" t="s">
        <v>159</v>
      </c>
      <c r="C35">
        <v>1370</v>
      </c>
      <c r="D35" t="s">
        <v>338</v>
      </c>
      <c r="E35" s="30">
        <f>B12</f>
        <v>200</v>
      </c>
      <c r="F35">
        <f t="shared" si="0"/>
        <v>274000</v>
      </c>
    </row>
    <row r="36" spans="1:6">
      <c r="A36" t="s">
        <v>216</v>
      </c>
      <c r="B36" t="s">
        <v>161</v>
      </c>
      <c r="C36">
        <v>460</v>
      </c>
      <c r="D36" t="s">
        <v>338</v>
      </c>
      <c r="E36" s="30">
        <f>B12</f>
        <v>200</v>
      </c>
      <c r="F36">
        <f t="shared" si="0"/>
        <v>92000</v>
      </c>
    </row>
    <row r="37" spans="1:6">
      <c r="A37" t="s">
        <v>280</v>
      </c>
      <c r="B37" t="s">
        <v>281</v>
      </c>
      <c r="C37">
        <v>1</v>
      </c>
      <c r="D37" t="s">
        <v>282</v>
      </c>
      <c r="E37" s="30">
        <f>B18</f>
        <v>1250000</v>
      </c>
      <c r="F37">
        <f t="shared" si="0"/>
        <v>1250000</v>
      </c>
    </row>
    <row r="38" spans="1:6">
      <c r="A38" t="s">
        <v>162</v>
      </c>
      <c r="B38" t="s">
        <v>163</v>
      </c>
      <c r="C38">
        <v>480</v>
      </c>
      <c r="D38" t="s">
        <v>338</v>
      </c>
      <c r="E38" s="30">
        <f>B12</f>
        <v>200</v>
      </c>
      <c r="F38">
        <f t="shared" si="0"/>
        <v>96000</v>
      </c>
    </row>
    <row r="39" spans="1:6">
      <c r="A39" t="s">
        <v>284</v>
      </c>
      <c r="B39" t="s">
        <v>148</v>
      </c>
      <c r="C39">
        <v>1</v>
      </c>
      <c r="D39" t="s">
        <v>149</v>
      </c>
      <c r="E39" s="30">
        <f>B18</f>
        <v>1250000</v>
      </c>
      <c r="F39">
        <f t="shared" si="0"/>
        <v>1250000</v>
      </c>
    </row>
    <row r="40" spans="1:6">
      <c r="A40" t="s">
        <v>164</v>
      </c>
      <c r="B40" t="s">
        <v>161</v>
      </c>
      <c r="C40">
        <v>1760</v>
      </c>
      <c r="D40" t="s">
        <v>338</v>
      </c>
      <c r="E40" s="30">
        <f>B12</f>
        <v>200</v>
      </c>
      <c r="F40">
        <f t="shared" si="0"/>
        <v>352000</v>
      </c>
    </row>
    <row r="41" spans="1:6">
      <c r="A41" t="s">
        <v>153</v>
      </c>
      <c r="B41" t="s">
        <v>161</v>
      </c>
      <c r="C41">
        <v>610</v>
      </c>
      <c r="D41" t="s">
        <v>338</v>
      </c>
      <c r="E41" s="30">
        <f>B12</f>
        <v>200</v>
      </c>
      <c r="F41">
        <f t="shared" si="0"/>
        <v>122000</v>
      </c>
    </row>
    <row r="42" spans="1:6">
      <c r="A42" t="s">
        <v>240</v>
      </c>
      <c r="B42" t="s">
        <v>219</v>
      </c>
      <c r="C42">
        <v>1200</v>
      </c>
      <c r="D42" t="s">
        <v>338</v>
      </c>
      <c r="E42" s="30">
        <f>B7</f>
        <v>50</v>
      </c>
      <c r="F42">
        <f t="shared" ref="F42:F105" si="1">C42*E42</f>
        <v>60000</v>
      </c>
    </row>
    <row r="43" spans="1:6">
      <c r="A43" t="s">
        <v>240</v>
      </c>
      <c r="B43" t="s">
        <v>159</v>
      </c>
      <c r="C43">
        <v>600</v>
      </c>
      <c r="D43" t="s">
        <v>241</v>
      </c>
      <c r="E43" s="30">
        <f>B12</f>
        <v>200</v>
      </c>
      <c r="F43">
        <f t="shared" si="1"/>
        <v>120000</v>
      </c>
    </row>
    <row r="44" spans="1:6">
      <c r="A44" t="s">
        <v>296</v>
      </c>
      <c r="B44" t="s">
        <v>297</v>
      </c>
      <c r="C44">
        <v>280</v>
      </c>
      <c r="D44" t="s">
        <v>338</v>
      </c>
      <c r="E44" s="30">
        <f>B7</f>
        <v>50</v>
      </c>
      <c r="F44">
        <f t="shared" si="1"/>
        <v>14000</v>
      </c>
    </row>
    <row r="45" spans="1:6">
      <c r="A45" t="s">
        <v>298</v>
      </c>
      <c r="B45" t="s">
        <v>161</v>
      </c>
      <c r="C45">
        <v>140</v>
      </c>
      <c r="D45" t="s">
        <v>338</v>
      </c>
      <c r="E45" s="30">
        <f>B12</f>
        <v>200</v>
      </c>
      <c r="F45">
        <f t="shared" si="1"/>
        <v>28000</v>
      </c>
    </row>
    <row r="46" spans="1:6">
      <c r="A46" t="s">
        <v>369</v>
      </c>
      <c r="B46" t="s">
        <v>161</v>
      </c>
      <c r="C46">
        <v>100</v>
      </c>
      <c r="D46" t="s">
        <v>371</v>
      </c>
      <c r="E46" s="30">
        <f>B12</f>
        <v>200</v>
      </c>
      <c r="F46">
        <f t="shared" si="1"/>
        <v>20000</v>
      </c>
    </row>
    <row r="47" spans="1:6">
      <c r="A47" s="39" t="s">
        <v>373</v>
      </c>
      <c r="B47" t="s">
        <v>219</v>
      </c>
      <c r="C47">
        <v>1200</v>
      </c>
      <c r="D47" t="s">
        <v>338</v>
      </c>
      <c r="E47" s="30">
        <f>B7</f>
        <v>50</v>
      </c>
      <c r="F47">
        <f t="shared" si="1"/>
        <v>60000</v>
      </c>
    </row>
    <row r="48" spans="1:6">
      <c r="A48" t="s">
        <v>217</v>
      </c>
      <c r="B48" t="s">
        <v>220</v>
      </c>
      <c r="C48">
        <v>600</v>
      </c>
      <c r="D48" t="s">
        <v>221</v>
      </c>
      <c r="E48" s="30">
        <f>B12</f>
        <v>200</v>
      </c>
      <c r="F48">
        <f t="shared" si="1"/>
        <v>120000</v>
      </c>
    </row>
    <row r="49" spans="1:6">
      <c r="A49" t="s">
        <v>227</v>
      </c>
      <c r="B49" t="s">
        <v>297</v>
      </c>
      <c r="C49">
        <f>2*1750</f>
        <v>3500</v>
      </c>
      <c r="D49" t="s">
        <v>338</v>
      </c>
      <c r="E49" s="30">
        <f>B7</f>
        <v>50</v>
      </c>
      <c r="F49">
        <f t="shared" si="1"/>
        <v>175000</v>
      </c>
    </row>
    <row r="50" spans="1:6">
      <c r="A50" t="s">
        <v>228</v>
      </c>
      <c r="B50" t="s">
        <v>229</v>
      </c>
      <c r="C50">
        <v>1750</v>
      </c>
      <c r="D50" t="s">
        <v>338</v>
      </c>
      <c r="E50" s="30">
        <f>B12</f>
        <v>200</v>
      </c>
      <c r="F50">
        <f t="shared" si="1"/>
        <v>350000</v>
      </c>
    </row>
    <row r="51" spans="1:6">
      <c r="A51" t="s">
        <v>236</v>
      </c>
      <c r="B51" t="s">
        <v>237</v>
      </c>
      <c r="C51">
        <f>2*1290</f>
        <v>2580</v>
      </c>
      <c r="D51" t="s">
        <v>238</v>
      </c>
      <c r="E51" s="30">
        <f>B7</f>
        <v>50</v>
      </c>
      <c r="F51">
        <f t="shared" si="1"/>
        <v>129000</v>
      </c>
    </row>
    <row r="52" spans="1:6">
      <c r="A52" t="s">
        <v>232</v>
      </c>
      <c r="B52" t="s">
        <v>159</v>
      </c>
      <c r="C52">
        <v>1290</v>
      </c>
      <c r="D52" t="s">
        <v>371</v>
      </c>
      <c r="E52" s="30">
        <f>B12</f>
        <v>200</v>
      </c>
      <c r="F52">
        <f t="shared" si="1"/>
        <v>258000</v>
      </c>
    </row>
    <row r="53" spans="1:6">
      <c r="A53" t="s">
        <v>108</v>
      </c>
      <c r="B53" t="s">
        <v>261</v>
      </c>
      <c r="C53">
        <v>600</v>
      </c>
      <c r="D53" t="s">
        <v>371</v>
      </c>
      <c r="E53" s="30">
        <f>B7</f>
        <v>50</v>
      </c>
      <c r="F53">
        <f t="shared" si="1"/>
        <v>30000</v>
      </c>
    </row>
    <row r="54" spans="1:6">
      <c r="A54" t="s">
        <v>108</v>
      </c>
      <c r="B54" t="s">
        <v>252</v>
      </c>
      <c r="C54">
        <v>300</v>
      </c>
      <c r="D54" t="s">
        <v>371</v>
      </c>
      <c r="E54" s="30">
        <f>B12</f>
        <v>200</v>
      </c>
      <c r="F54">
        <f t="shared" si="1"/>
        <v>60000</v>
      </c>
    </row>
    <row r="55" spans="1:6">
      <c r="A55" t="s">
        <v>108</v>
      </c>
      <c r="B55" t="s">
        <v>253</v>
      </c>
      <c r="C55">
        <v>1</v>
      </c>
      <c r="D55" t="s">
        <v>282</v>
      </c>
      <c r="E55">
        <v>2500000</v>
      </c>
      <c r="F55">
        <f t="shared" si="1"/>
        <v>2500000</v>
      </c>
    </row>
    <row r="56" spans="1:6">
      <c r="A56" t="s">
        <v>257</v>
      </c>
      <c r="B56" t="s">
        <v>261</v>
      </c>
      <c r="C56">
        <v>2800</v>
      </c>
      <c r="D56" t="s">
        <v>260</v>
      </c>
      <c r="E56" s="30">
        <f>B7</f>
        <v>50</v>
      </c>
      <c r="F56">
        <f t="shared" si="1"/>
        <v>140000</v>
      </c>
    </row>
    <row r="57" spans="1:6">
      <c r="A57" t="s">
        <v>259</v>
      </c>
      <c r="B57" t="s">
        <v>262</v>
      </c>
      <c r="C57">
        <v>1400</v>
      </c>
      <c r="D57" t="s">
        <v>371</v>
      </c>
      <c r="E57" s="30">
        <f>B12</f>
        <v>200</v>
      </c>
      <c r="F57">
        <f t="shared" si="1"/>
        <v>280000</v>
      </c>
    </row>
    <row r="58" spans="1:6">
      <c r="A58" t="s">
        <v>124</v>
      </c>
      <c r="B58" t="s">
        <v>261</v>
      </c>
      <c r="C58">
        <f>2*1680</f>
        <v>3360</v>
      </c>
      <c r="D58" t="s">
        <v>371</v>
      </c>
      <c r="E58" s="30">
        <f>B7</f>
        <v>50</v>
      </c>
      <c r="F58">
        <f t="shared" si="1"/>
        <v>168000</v>
      </c>
    </row>
    <row r="59" spans="1:6">
      <c r="A59" t="s">
        <v>124</v>
      </c>
      <c r="B59" t="s">
        <v>220</v>
      </c>
      <c r="C59">
        <v>1680</v>
      </c>
      <c r="D59" t="s">
        <v>371</v>
      </c>
      <c r="E59" s="30">
        <f>B12</f>
        <v>200</v>
      </c>
      <c r="F59">
        <f t="shared" si="1"/>
        <v>336000</v>
      </c>
    </row>
    <row r="60" spans="1:6">
      <c r="A60" t="s">
        <v>130</v>
      </c>
      <c r="B60" t="s">
        <v>132</v>
      </c>
      <c r="C60">
        <v>1</v>
      </c>
      <c r="D60" t="s">
        <v>282</v>
      </c>
      <c r="E60">
        <v>1000000</v>
      </c>
      <c r="F60">
        <f t="shared" si="1"/>
        <v>1000000</v>
      </c>
    </row>
    <row r="61" spans="1:6">
      <c r="A61" t="s">
        <v>133</v>
      </c>
      <c r="B61" t="s">
        <v>219</v>
      </c>
      <c r="C61">
        <f>2*1690</f>
        <v>3380</v>
      </c>
      <c r="D61" t="s">
        <v>134</v>
      </c>
      <c r="E61" s="30">
        <f>B7</f>
        <v>50</v>
      </c>
      <c r="F61">
        <f t="shared" si="1"/>
        <v>169000</v>
      </c>
    </row>
    <row r="62" spans="1:6">
      <c r="A62" t="s">
        <v>130</v>
      </c>
      <c r="B62" t="s">
        <v>220</v>
      </c>
      <c r="C62">
        <v>1690</v>
      </c>
      <c r="D62" t="s">
        <v>135</v>
      </c>
      <c r="E62" s="30">
        <f>B12</f>
        <v>200</v>
      </c>
      <c r="F62">
        <f t="shared" si="1"/>
        <v>338000</v>
      </c>
    </row>
    <row r="63" spans="1:6">
      <c r="A63" t="s">
        <v>49</v>
      </c>
      <c r="B63" t="s">
        <v>50</v>
      </c>
      <c r="C63">
        <f>2*1160</f>
        <v>2320</v>
      </c>
      <c r="D63" t="s">
        <v>51</v>
      </c>
      <c r="E63" s="30">
        <f>B7</f>
        <v>50</v>
      </c>
      <c r="F63">
        <f t="shared" si="1"/>
        <v>116000</v>
      </c>
    </row>
    <row r="64" spans="1:6">
      <c r="A64" t="s">
        <v>52</v>
      </c>
      <c r="B64" t="s">
        <v>53</v>
      </c>
      <c r="C64">
        <v>1160</v>
      </c>
      <c r="D64" t="s">
        <v>51</v>
      </c>
      <c r="E64" s="30">
        <f>B12</f>
        <v>200</v>
      </c>
      <c r="F64">
        <f t="shared" si="1"/>
        <v>232000</v>
      </c>
    </row>
    <row r="65" spans="1:6">
      <c r="A65" t="s">
        <v>64</v>
      </c>
      <c r="B65" t="s">
        <v>65</v>
      </c>
      <c r="C65">
        <f>700</f>
        <v>700</v>
      </c>
      <c r="D65" t="s">
        <v>66</v>
      </c>
      <c r="E65" s="30">
        <f>B7</f>
        <v>50</v>
      </c>
      <c r="F65">
        <f t="shared" si="1"/>
        <v>35000</v>
      </c>
    </row>
    <row r="66" spans="1:6">
      <c r="A66" t="s">
        <v>58</v>
      </c>
      <c r="B66" t="s">
        <v>67</v>
      </c>
      <c r="C66">
        <v>350</v>
      </c>
      <c r="D66" t="s">
        <v>66</v>
      </c>
      <c r="E66" s="30">
        <f>B12</f>
        <v>200</v>
      </c>
      <c r="F66">
        <f t="shared" si="1"/>
        <v>70000</v>
      </c>
    </row>
    <row r="67" spans="1:6">
      <c r="A67" t="s">
        <v>70</v>
      </c>
      <c r="B67" t="s">
        <v>65</v>
      </c>
      <c r="C67">
        <f>2*1950</f>
        <v>3900</v>
      </c>
      <c r="D67" t="s">
        <v>66</v>
      </c>
      <c r="E67" s="30">
        <f>B7</f>
        <v>50</v>
      </c>
      <c r="F67">
        <f t="shared" si="1"/>
        <v>195000</v>
      </c>
    </row>
    <row r="68" spans="1:6">
      <c r="A68" t="s">
        <v>69</v>
      </c>
      <c r="B68" t="s">
        <v>67</v>
      </c>
      <c r="C68">
        <v>1950</v>
      </c>
      <c r="D68" t="s">
        <v>51</v>
      </c>
      <c r="E68" s="30">
        <f>B12</f>
        <v>200</v>
      </c>
      <c r="F68">
        <f t="shared" si="1"/>
        <v>390000</v>
      </c>
    </row>
    <row r="69" spans="1:6">
      <c r="A69" t="s">
        <v>19</v>
      </c>
      <c r="B69" t="s">
        <v>50</v>
      </c>
      <c r="C69">
        <f>4800*2</f>
        <v>9600</v>
      </c>
      <c r="D69" t="s">
        <v>51</v>
      </c>
      <c r="E69" s="30">
        <f>B7</f>
        <v>50</v>
      </c>
      <c r="F69">
        <f t="shared" si="1"/>
        <v>480000</v>
      </c>
    </row>
    <row r="70" spans="1:6">
      <c r="A70" t="s">
        <v>21</v>
      </c>
      <c r="B70" t="s">
        <v>22</v>
      </c>
      <c r="C70">
        <f>2*2240</f>
        <v>4480</v>
      </c>
      <c r="D70" t="s">
        <v>66</v>
      </c>
      <c r="E70" s="30">
        <f>B8</f>
        <v>100</v>
      </c>
      <c r="F70">
        <f t="shared" si="1"/>
        <v>448000</v>
      </c>
    </row>
    <row r="71" spans="1:6">
      <c r="A71" t="s">
        <v>19</v>
      </c>
      <c r="B71" t="s">
        <v>23</v>
      </c>
      <c r="C71">
        <v>7040</v>
      </c>
      <c r="D71" t="s">
        <v>51</v>
      </c>
      <c r="E71" s="30">
        <f>B12</f>
        <v>200</v>
      </c>
      <c r="F71">
        <f t="shared" si="1"/>
        <v>1408000</v>
      </c>
    </row>
    <row r="72" spans="1:6">
      <c r="A72" t="s">
        <v>21</v>
      </c>
      <c r="B72" t="s">
        <v>24</v>
      </c>
      <c r="C72">
        <v>1</v>
      </c>
      <c r="D72" t="s">
        <v>27</v>
      </c>
      <c r="E72" s="30">
        <f>B19</f>
        <v>2500000</v>
      </c>
      <c r="F72">
        <f t="shared" si="1"/>
        <v>2500000</v>
      </c>
    </row>
    <row r="73" spans="1:6">
      <c r="A73" t="s">
        <v>19</v>
      </c>
      <c r="B73" t="s">
        <v>25</v>
      </c>
      <c r="C73">
        <v>1</v>
      </c>
      <c r="D73" t="s">
        <v>26</v>
      </c>
      <c r="E73" s="30">
        <f>B20</f>
        <v>5000000</v>
      </c>
      <c r="F73">
        <f t="shared" si="1"/>
        <v>5000000</v>
      </c>
    </row>
    <row r="74" spans="1:6">
      <c r="A74" t="s">
        <v>451</v>
      </c>
      <c r="B74" t="s">
        <v>459</v>
      </c>
      <c r="C74">
        <f>2*800</f>
        <v>1600</v>
      </c>
      <c r="D74" t="s">
        <v>460</v>
      </c>
      <c r="E74" s="30">
        <f>B8</f>
        <v>100</v>
      </c>
      <c r="F74">
        <f t="shared" si="1"/>
        <v>160000</v>
      </c>
    </row>
    <row r="75" spans="1:6">
      <c r="A75" t="s">
        <v>451</v>
      </c>
      <c r="B75" t="s">
        <v>461</v>
      </c>
      <c r="C75">
        <v>800</v>
      </c>
      <c r="D75" t="s">
        <v>462</v>
      </c>
      <c r="E75" s="30">
        <f>B12</f>
        <v>200</v>
      </c>
      <c r="F75">
        <f t="shared" si="1"/>
        <v>160000</v>
      </c>
    </row>
    <row r="76" spans="1:6">
      <c r="A76" t="s">
        <v>472</v>
      </c>
      <c r="B76" t="s">
        <v>483</v>
      </c>
      <c r="C76">
        <f>2*7950</f>
        <v>15900</v>
      </c>
      <c r="D76" t="s">
        <v>460</v>
      </c>
      <c r="E76" s="30">
        <f>B7</f>
        <v>50</v>
      </c>
      <c r="F76">
        <f t="shared" si="1"/>
        <v>795000</v>
      </c>
    </row>
    <row r="77" spans="1:6">
      <c r="A77" t="s">
        <v>472</v>
      </c>
      <c r="B77" t="s">
        <v>461</v>
      </c>
      <c r="C77">
        <v>7950</v>
      </c>
      <c r="D77" t="s">
        <v>460</v>
      </c>
      <c r="E77" s="30">
        <f>B12</f>
        <v>200</v>
      </c>
      <c r="F77">
        <f t="shared" si="1"/>
        <v>1590000</v>
      </c>
    </row>
    <row r="78" spans="1:6">
      <c r="A78" t="s">
        <v>472</v>
      </c>
      <c r="B78" t="s">
        <v>411</v>
      </c>
      <c r="C78">
        <v>1</v>
      </c>
      <c r="D78" t="s">
        <v>484</v>
      </c>
      <c r="E78" s="30">
        <f>B18</f>
        <v>1250000</v>
      </c>
      <c r="F78">
        <f t="shared" si="1"/>
        <v>1250000</v>
      </c>
    </row>
    <row r="79" spans="1:6">
      <c r="A79" t="s">
        <v>336</v>
      </c>
      <c r="B79" t="s">
        <v>412</v>
      </c>
      <c r="C79">
        <f>2*3520</f>
        <v>7040</v>
      </c>
      <c r="D79" t="s">
        <v>413</v>
      </c>
      <c r="E79" s="30">
        <f>B7</f>
        <v>50</v>
      </c>
      <c r="F79">
        <f t="shared" si="1"/>
        <v>352000</v>
      </c>
    </row>
    <row r="80" spans="1:6">
      <c r="A80" t="s">
        <v>336</v>
      </c>
      <c r="B80" t="s">
        <v>414</v>
      </c>
      <c r="C80">
        <v>3520</v>
      </c>
      <c r="D80" t="s">
        <v>460</v>
      </c>
      <c r="E80" s="30">
        <f>B12</f>
        <v>200</v>
      </c>
      <c r="F80">
        <f t="shared" si="1"/>
        <v>704000</v>
      </c>
    </row>
    <row r="81" spans="1:6">
      <c r="A81" t="s">
        <v>336</v>
      </c>
      <c r="B81" t="s">
        <v>554</v>
      </c>
      <c r="C81">
        <v>1</v>
      </c>
      <c r="D81" t="s">
        <v>484</v>
      </c>
      <c r="E81" s="30">
        <f>B17</f>
        <v>500000</v>
      </c>
      <c r="F81">
        <f t="shared" si="1"/>
        <v>500000</v>
      </c>
    </row>
    <row r="82" spans="1:6">
      <c r="A82" t="s">
        <v>417</v>
      </c>
      <c r="B82" t="s">
        <v>412</v>
      </c>
      <c r="C82">
        <f>2*3180</f>
        <v>6360</v>
      </c>
      <c r="D82" t="s">
        <v>425</v>
      </c>
      <c r="E82" s="30">
        <f>B7</f>
        <v>50</v>
      </c>
      <c r="F82">
        <f t="shared" si="1"/>
        <v>318000</v>
      </c>
    </row>
    <row r="83" spans="1:6">
      <c r="A83" t="s">
        <v>417</v>
      </c>
      <c r="B83" t="s">
        <v>414</v>
      </c>
      <c r="C83">
        <v>3180</v>
      </c>
      <c r="D83" t="s">
        <v>460</v>
      </c>
      <c r="E83" s="30">
        <f>B12</f>
        <v>200</v>
      </c>
      <c r="F83">
        <f t="shared" si="1"/>
        <v>636000</v>
      </c>
    </row>
    <row r="84" spans="1:6">
      <c r="A84" t="s">
        <v>417</v>
      </c>
      <c r="B84" t="s">
        <v>554</v>
      </c>
      <c r="C84">
        <v>4</v>
      </c>
      <c r="D84" t="s">
        <v>424</v>
      </c>
      <c r="E84" s="30">
        <f>B17</f>
        <v>500000</v>
      </c>
      <c r="F84">
        <f t="shared" si="1"/>
        <v>2000000</v>
      </c>
    </row>
    <row r="85" spans="1:6">
      <c r="A85" t="s">
        <v>430</v>
      </c>
      <c r="B85" t="s">
        <v>435</v>
      </c>
      <c r="C85">
        <f>2*5600</f>
        <v>11200</v>
      </c>
      <c r="D85" t="s">
        <v>460</v>
      </c>
      <c r="E85" s="30">
        <f>B7</f>
        <v>50</v>
      </c>
      <c r="F85">
        <f t="shared" si="1"/>
        <v>560000</v>
      </c>
    </row>
    <row r="86" spans="1:6">
      <c r="A86" t="s">
        <v>430</v>
      </c>
      <c r="B86" t="s">
        <v>436</v>
      </c>
      <c r="C86">
        <v>5600</v>
      </c>
      <c r="D86" t="s">
        <v>460</v>
      </c>
      <c r="E86" s="30">
        <f>B12</f>
        <v>200</v>
      </c>
      <c r="F86">
        <f t="shared" si="1"/>
        <v>1120000</v>
      </c>
    </row>
    <row r="87" spans="1:6">
      <c r="A87" t="s">
        <v>430</v>
      </c>
      <c r="B87" t="s">
        <v>437</v>
      </c>
      <c r="C87">
        <v>1</v>
      </c>
      <c r="D87" t="s">
        <v>484</v>
      </c>
      <c r="E87" s="30">
        <f>B17</f>
        <v>500000</v>
      </c>
      <c r="F87">
        <f t="shared" si="1"/>
        <v>500000</v>
      </c>
    </row>
    <row r="88" spans="1:6">
      <c r="A88" t="s">
        <v>430</v>
      </c>
      <c r="B88" t="s">
        <v>438</v>
      </c>
      <c r="C88">
        <v>1</v>
      </c>
      <c r="D88" t="s">
        <v>484</v>
      </c>
      <c r="E88" s="30">
        <f>B18</f>
        <v>1250000</v>
      </c>
      <c r="F88">
        <f t="shared" si="1"/>
        <v>1250000</v>
      </c>
    </row>
    <row r="89" spans="1:6">
      <c r="A89" t="s">
        <v>441</v>
      </c>
      <c r="B89" t="s">
        <v>443</v>
      </c>
      <c r="C89">
        <f>2*1240</f>
        <v>2480</v>
      </c>
      <c r="D89" t="s">
        <v>460</v>
      </c>
      <c r="E89" s="30">
        <f>B7</f>
        <v>50</v>
      </c>
      <c r="F89">
        <f t="shared" si="1"/>
        <v>124000</v>
      </c>
    </row>
    <row r="90" spans="1:6">
      <c r="A90" t="s">
        <v>441</v>
      </c>
      <c r="B90" t="s">
        <v>436</v>
      </c>
      <c r="C90">
        <v>1240</v>
      </c>
      <c r="D90" t="s">
        <v>460</v>
      </c>
      <c r="E90" s="30">
        <f>B12</f>
        <v>200</v>
      </c>
      <c r="F90">
        <f t="shared" si="1"/>
        <v>248000</v>
      </c>
    </row>
    <row r="91" spans="1:6">
      <c r="A91" t="s">
        <v>441</v>
      </c>
      <c r="B91" t="s">
        <v>444</v>
      </c>
      <c r="C91">
        <f>250*2</f>
        <v>500</v>
      </c>
      <c r="D91" t="s">
        <v>445</v>
      </c>
      <c r="E91" s="30">
        <f>B11</f>
        <v>2500</v>
      </c>
      <c r="F91">
        <f t="shared" si="1"/>
        <v>1250000</v>
      </c>
    </row>
    <row r="92" spans="1:6">
      <c r="A92" t="s">
        <v>448</v>
      </c>
      <c r="B92" t="s">
        <v>435</v>
      </c>
      <c r="C92" s="30">
        <f>2*2200</f>
        <v>4400</v>
      </c>
      <c r="D92" t="s">
        <v>460</v>
      </c>
      <c r="E92" s="30">
        <f>B7</f>
        <v>50</v>
      </c>
      <c r="F92">
        <f>C92*E92</f>
        <v>220000</v>
      </c>
    </row>
    <row r="93" spans="1:6">
      <c r="A93" t="s">
        <v>448</v>
      </c>
      <c r="B93" t="s">
        <v>436</v>
      </c>
      <c r="C93">
        <v>2200</v>
      </c>
      <c r="D93" t="s">
        <v>460</v>
      </c>
      <c r="E93" s="30">
        <f>B12</f>
        <v>200</v>
      </c>
      <c r="F93">
        <f t="shared" si="1"/>
        <v>440000</v>
      </c>
    </row>
    <row r="94" spans="1:6">
      <c r="A94" t="s">
        <v>514</v>
      </c>
      <c r="B94" t="s">
        <v>435</v>
      </c>
      <c r="C94" s="30">
        <f>2*1760</f>
        <v>3520</v>
      </c>
      <c r="D94" t="s">
        <v>460</v>
      </c>
      <c r="E94" s="30">
        <f>B7</f>
        <v>50</v>
      </c>
      <c r="F94">
        <f t="shared" si="1"/>
        <v>176000</v>
      </c>
    </row>
    <row r="95" spans="1:6">
      <c r="A95" t="s">
        <v>514</v>
      </c>
      <c r="B95" t="s">
        <v>461</v>
      </c>
      <c r="C95">
        <v>1760</v>
      </c>
      <c r="D95" t="s">
        <v>460</v>
      </c>
      <c r="E95" s="30">
        <f>B12</f>
        <v>200</v>
      </c>
      <c r="F95">
        <f t="shared" si="1"/>
        <v>352000</v>
      </c>
    </row>
    <row r="96" spans="1:6">
      <c r="A96" t="s">
        <v>522</v>
      </c>
      <c r="B96" t="s">
        <v>523</v>
      </c>
      <c r="C96">
        <f>2*1580</f>
        <v>3160</v>
      </c>
      <c r="D96" t="s">
        <v>524</v>
      </c>
      <c r="E96" s="30">
        <f>B8</f>
        <v>100</v>
      </c>
      <c r="F96">
        <f t="shared" si="1"/>
        <v>316000</v>
      </c>
    </row>
    <row r="97" spans="1:6">
      <c r="A97" t="s">
        <v>522</v>
      </c>
      <c r="B97" t="s">
        <v>461</v>
      </c>
      <c r="C97">
        <v>1580</v>
      </c>
      <c r="D97" t="s">
        <v>525</v>
      </c>
      <c r="E97" s="30">
        <f>B12</f>
        <v>200</v>
      </c>
      <c r="F97">
        <f t="shared" si="1"/>
        <v>316000</v>
      </c>
    </row>
    <row r="98" spans="1:6">
      <c r="A98" t="s">
        <v>522</v>
      </c>
      <c r="B98" t="s">
        <v>527</v>
      </c>
      <c r="C98">
        <v>1</v>
      </c>
      <c r="D98" t="s">
        <v>526</v>
      </c>
      <c r="E98" s="30">
        <f>B20</f>
        <v>5000000</v>
      </c>
      <c r="F98">
        <f t="shared" si="1"/>
        <v>5000000</v>
      </c>
    </row>
    <row r="99" spans="1:6">
      <c r="A99" t="s">
        <v>542</v>
      </c>
      <c r="B99" t="s">
        <v>523</v>
      </c>
      <c r="C99">
        <f>2*500</f>
        <v>1000</v>
      </c>
      <c r="D99" t="s">
        <v>460</v>
      </c>
      <c r="E99" s="30">
        <f>B8</f>
        <v>100</v>
      </c>
      <c r="F99">
        <f t="shared" si="1"/>
        <v>100000</v>
      </c>
    </row>
    <row r="100" spans="1:6">
      <c r="A100" t="s">
        <v>542</v>
      </c>
      <c r="B100" t="s">
        <v>435</v>
      </c>
      <c r="C100">
        <f>2*1280</f>
        <v>2560</v>
      </c>
      <c r="D100" t="s">
        <v>460</v>
      </c>
      <c r="E100" s="30">
        <f>B7</f>
        <v>50</v>
      </c>
      <c r="F100">
        <f t="shared" si="1"/>
        <v>128000</v>
      </c>
    </row>
    <row r="101" spans="1:6">
      <c r="A101" t="s">
        <v>542</v>
      </c>
      <c r="B101" t="s">
        <v>546</v>
      </c>
      <c r="C101">
        <v>1780</v>
      </c>
      <c r="D101" t="s">
        <v>460</v>
      </c>
      <c r="E101" s="30">
        <f>B12</f>
        <v>200</v>
      </c>
      <c r="F101">
        <f t="shared" si="1"/>
        <v>356000</v>
      </c>
    </row>
    <row r="102" spans="1:6">
      <c r="A102" t="s">
        <v>542</v>
      </c>
      <c r="B102" t="s">
        <v>547</v>
      </c>
      <c r="C102">
        <v>1</v>
      </c>
      <c r="D102" t="s">
        <v>548</v>
      </c>
      <c r="E102" s="30">
        <f>B17</f>
        <v>500000</v>
      </c>
      <c r="F102">
        <f t="shared" si="1"/>
        <v>500000</v>
      </c>
    </row>
    <row r="103" spans="1:6">
      <c r="A103" t="s">
        <v>551</v>
      </c>
      <c r="B103" t="s">
        <v>598</v>
      </c>
      <c r="C103">
        <f>2*1420</f>
        <v>2840</v>
      </c>
      <c r="D103" t="s">
        <v>600</v>
      </c>
      <c r="E103" s="30">
        <f>B7</f>
        <v>50</v>
      </c>
      <c r="F103">
        <f t="shared" si="1"/>
        <v>142000</v>
      </c>
    </row>
    <row r="104" spans="1:6">
      <c r="A104" t="s">
        <v>551</v>
      </c>
      <c r="B104" t="s">
        <v>599</v>
      </c>
      <c r="C104">
        <v>1420</v>
      </c>
      <c r="D104" t="s">
        <v>460</v>
      </c>
      <c r="E104" s="30">
        <f>B12</f>
        <v>200</v>
      </c>
      <c r="F104">
        <f t="shared" si="1"/>
        <v>284000</v>
      </c>
    </row>
    <row r="105" spans="1:6">
      <c r="A105" t="s">
        <v>608</v>
      </c>
      <c r="B105" t="s">
        <v>523</v>
      </c>
      <c r="C105">
        <f>2*1500</f>
        <v>3000</v>
      </c>
      <c r="D105" t="s">
        <v>460</v>
      </c>
      <c r="E105" s="30">
        <f>B8</f>
        <v>100</v>
      </c>
      <c r="F105">
        <f t="shared" si="1"/>
        <v>300000</v>
      </c>
    </row>
    <row r="106" spans="1:6">
      <c r="A106" t="s">
        <v>608</v>
      </c>
      <c r="B106" t="s">
        <v>435</v>
      </c>
      <c r="C106">
        <f>2*3190</f>
        <v>6380</v>
      </c>
      <c r="D106" t="s">
        <v>460</v>
      </c>
      <c r="E106" s="30">
        <f>B7</f>
        <v>50</v>
      </c>
      <c r="F106">
        <f t="shared" ref="F106:F129" si="2">C106*E106</f>
        <v>319000</v>
      </c>
    </row>
    <row r="107" spans="1:6">
      <c r="A107" t="s">
        <v>608</v>
      </c>
      <c r="B107" t="s">
        <v>461</v>
      </c>
      <c r="C107">
        <v>4690</v>
      </c>
      <c r="D107" t="s">
        <v>460</v>
      </c>
      <c r="E107" s="30">
        <f>B12</f>
        <v>200</v>
      </c>
      <c r="F107">
        <f t="shared" si="2"/>
        <v>938000</v>
      </c>
    </row>
    <row r="108" spans="1:6">
      <c r="A108" t="s">
        <v>608</v>
      </c>
      <c r="B108" t="s">
        <v>610</v>
      </c>
      <c r="C108">
        <v>1</v>
      </c>
      <c r="D108" t="s">
        <v>526</v>
      </c>
      <c r="E108" s="30">
        <f>B17</f>
        <v>500000</v>
      </c>
      <c r="F108">
        <f t="shared" si="2"/>
        <v>500000</v>
      </c>
    </row>
    <row r="109" spans="1:6">
      <c r="A109" t="s">
        <v>608</v>
      </c>
      <c r="B109" t="s">
        <v>438</v>
      </c>
      <c r="C109">
        <v>1</v>
      </c>
      <c r="D109" t="s">
        <v>484</v>
      </c>
      <c r="E109" s="30">
        <f>B18</f>
        <v>1250000</v>
      </c>
      <c r="F109">
        <f t="shared" si="2"/>
        <v>1250000</v>
      </c>
    </row>
    <row r="110" spans="1:6">
      <c r="A110" t="s">
        <v>485</v>
      </c>
      <c r="B110" t="s">
        <v>435</v>
      </c>
      <c r="C110">
        <f>2*22300</f>
        <v>44600</v>
      </c>
      <c r="D110" t="s">
        <v>460</v>
      </c>
      <c r="E110" s="30">
        <f>B7</f>
        <v>50</v>
      </c>
      <c r="F110">
        <f t="shared" si="2"/>
        <v>2230000</v>
      </c>
    </row>
    <row r="111" spans="1:6">
      <c r="A111" t="s">
        <v>485</v>
      </c>
      <c r="B111" t="s">
        <v>461</v>
      </c>
      <c r="C111">
        <v>22300</v>
      </c>
      <c r="D111" t="s">
        <v>460</v>
      </c>
      <c r="E111" s="30">
        <f>B12</f>
        <v>200</v>
      </c>
      <c r="F111">
        <f t="shared" si="2"/>
        <v>4460000</v>
      </c>
    </row>
    <row r="112" spans="1:6">
      <c r="A112" t="s">
        <v>485</v>
      </c>
      <c r="B112" t="s">
        <v>488</v>
      </c>
      <c r="C112">
        <v>1</v>
      </c>
      <c r="D112" t="s">
        <v>484</v>
      </c>
      <c r="E112" s="30">
        <f>B19</f>
        <v>2500000</v>
      </c>
      <c r="F112">
        <f t="shared" si="2"/>
        <v>2500000</v>
      </c>
    </row>
    <row r="113" spans="1:6">
      <c r="A113" t="s">
        <v>485</v>
      </c>
      <c r="B113" t="s">
        <v>437</v>
      </c>
      <c r="C113">
        <v>5</v>
      </c>
      <c r="D113" t="s">
        <v>484</v>
      </c>
      <c r="E113" s="30">
        <f>B17</f>
        <v>500000</v>
      </c>
      <c r="F113">
        <f t="shared" si="2"/>
        <v>2500000</v>
      </c>
    </row>
    <row r="114" spans="1:6">
      <c r="A114" t="s">
        <v>495</v>
      </c>
      <c r="B114" t="s">
        <v>500</v>
      </c>
      <c r="C114">
        <v>2600</v>
      </c>
      <c r="D114" t="s">
        <v>460</v>
      </c>
      <c r="E114" s="30">
        <f>B7</f>
        <v>50</v>
      </c>
      <c r="F114">
        <f t="shared" si="2"/>
        <v>130000</v>
      </c>
    </row>
    <row r="115" spans="1:6">
      <c r="A115" t="s">
        <v>495</v>
      </c>
      <c r="B115" t="s">
        <v>461</v>
      </c>
      <c r="C115">
        <v>1300</v>
      </c>
      <c r="D115" t="s">
        <v>501</v>
      </c>
      <c r="E115" s="30">
        <f>B12</f>
        <v>200</v>
      </c>
      <c r="F115">
        <f t="shared" si="2"/>
        <v>260000</v>
      </c>
    </row>
    <row r="116" spans="1:6">
      <c r="A116" t="s">
        <v>495</v>
      </c>
      <c r="B116" t="s">
        <v>502</v>
      </c>
      <c r="C116">
        <v>1</v>
      </c>
      <c r="D116" t="s">
        <v>503</v>
      </c>
      <c r="E116" s="30">
        <f>B17</f>
        <v>500000</v>
      </c>
      <c r="F116">
        <f t="shared" si="2"/>
        <v>500000</v>
      </c>
    </row>
    <row r="117" spans="1:6">
      <c r="A117" t="s">
        <v>565</v>
      </c>
      <c r="B117" t="s">
        <v>435</v>
      </c>
      <c r="C117">
        <f>1000</f>
        <v>1000</v>
      </c>
      <c r="D117" t="s">
        <v>460</v>
      </c>
      <c r="E117" s="30">
        <f>B7</f>
        <v>50</v>
      </c>
      <c r="F117">
        <f t="shared" si="2"/>
        <v>50000</v>
      </c>
    </row>
    <row r="118" spans="1:6">
      <c r="A118" t="s">
        <v>565</v>
      </c>
      <c r="B118" t="s">
        <v>461</v>
      </c>
      <c r="C118">
        <v>500</v>
      </c>
      <c r="D118" t="s">
        <v>566</v>
      </c>
      <c r="E118" s="30">
        <f>B12</f>
        <v>200</v>
      </c>
      <c r="F118">
        <f t="shared" si="2"/>
        <v>100000</v>
      </c>
    </row>
    <row r="119" spans="1:6">
      <c r="A119" t="s">
        <v>573</v>
      </c>
      <c r="B119" t="s">
        <v>574</v>
      </c>
      <c r="C119">
        <f>2*1600</f>
        <v>3200</v>
      </c>
      <c r="D119" t="s">
        <v>460</v>
      </c>
      <c r="E119" s="30">
        <f>B7</f>
        <v>50</v>
      </c>
      <c r="F119">
        <f t="shared" si="2"/>
        <v>160000</v>
      </c>
    </row>
    <row r="120" spans="1:6">
      <c r="A120" t="s">
        <v>573</v>
      </c>
      <c r="B120" t="s">
        <v>575</v>
      </c>
      <c r="C120">
        <v>1600</v>
      </c>
      <c r="D120" t="s">
        <v>460</v>
      </c>
      <c r="E120" s="30">
        <f>B12</f>
        <v>200</v>
      </c>
      <c r="F120">
        <f t="shared" si="2"/>
        <v>320000</v>
      </c>
    </row>
    <row r="121" spans="1:6">
      <c r="A121" t="s">
        <v>577</v>
      </c>
      <c r="B121" t="s">
        <v>582</v>
      </c>
      <c r="C121">
        <v>2200</v>
      </c>
      <c r="D121" t="s">
        <v>425</v>
      </c>
      <c r="E121" s="30">
        <f>B7</f>
        <v>50</v>
      </c>
      <c r="F121">
        <f t="shared" si="2"/>
        <v>110000</v>
      </c>
    </row>
    <row r="122" spans="1:6">
      <c r="A122" t="s">
        <v>577</v>
      </c>
      <c r="B122" t="s">
        <v>461</v>
      </c>
      <c r="C122">
        <v>1100</v>
      </c>
      <c r="D122" t="s">
        <v>425</v>
      </c>
      <c r="E122" s="30">
        <f>B12</f>
        <v>200</v>
      </c>
      <c r="F122">
        <f t="shared" si="2"/>
        <v>220000</v>
      </c>
    </row>
    <row r="123" spans="1:6">
      <c r="A123" t="s">
        <v>577</v>
      </c>
      <c r="B123" t="s">
        <v>437</v>
      </c>
      <c r="C123">
        <v>1</v>
      </c>
      <c r="D123" t="s">
        <v>484</v>
      </c>
      <c r="E123" s="30">
        <f>B17</f>
        <v>500000</v>
      </c>
      <c r="F123">
        <f t="shared" si="2"/>
        <v>500000</v>
      </c>
    </row>
    <row r="124" spans="1:6">
      <c r="A124" t="s">
        <v>577</v>
      </c>
      <c r="B124" t="s">
        <v>438</v>
      </c>
      <c r="C124">
        <v>1</v>
      </c>
      <c r="D124" t="s">
        <v>526</v>
      </c>
      <c r="E124" s="30">
        <f>B18</f>
        <v>1250000</v>
      </c>
      <c r="F124">
        <f t="shared" si="2"/>
        <v>1250000</v>
      </c>
    </row>
    <row r="125" spans="1:6">
      <c r="A125" t="s">
        <v>585</v>
      </c>
      <c r="B125" t="s">
        <v>523</v>
      </c>
      <c r="C125">
        <f>2*2250</f>
        <v>4500</v>
      </c>
      <c r="D125" t="s">
        <v>460</v>
      </c>
      <c r="E125" s="30">
        <f>B8</f>
        <v>100</v>
      </c>
      <c r="F125">
        <f t="shared" si="2"/>
        <v>450000</v>
      </c>
    </row>
    <row r="126" spans="1:6">
      <c r="A126" t="s">
        <v>585</v>
      </c>
      <c r="B126" t="s">
        <v>461</v>
      </c>
      <c r="C126">
        <v>450</v>
      </c>
      <c r="D126" t="s">
        <v>425</v>
      </c>
      <c r="E126" s="30">
        <f>B12</f>
        <v>200</v>
      </c>
      <c r="F126">
        <f t="shared" si="2"/>
        <v>90000</v>
      </c>
    </row>
    <row r="127" spans="1:6">
      <c r="A127" t="s">
        <v>585</v>
      </c>
      <c r="B127" t="s">
        <v>588</v>
      </c>
      <c r="C127">
        <v>2</v>
      </c>
      <c r="D127" t="s">
        <v>484</v>
      </c>
      <c r="E127" s="30">
        <f>B20</f>
        <v>5000000</v>
      </c>
      <c r="F127">
        <f t="shared" si="2"/>
        <v>10000000</v>
      </c>
    </row>
    <row r="128" spans="1:6">
      <c r="A128" t="s">
        <v>585</v>
      </c>
      <c r="B128" t="s">
        <v>589</v>
      </c>
      <c r="C128">
        <v>500</v>
      </c>
      <c r="D128" t="s">
        <v>460</v>
      </c>
      <c r="E128" s="30">
        <f>B22</f>
        <v>575</v>
      </c>
      <c r="F128">
        <f t="shared" si="2"/>
        <v>287500</v>
      </c>
    </row>
    <row r="129" spans="1:6">
      <c r="A129" t="s">
        <v>585</v>
      </c>
      <c r="B129" t="s">
        <v>590</v>
      </c>
      <c r="C129">
        <v>500</v>
      </c>
      <c r="D129" t="s">
        <v>460</v>
      </c>
      <c r="E129" s="30">
        <f>B23</f>
        <v>125</v>
      </c>
      <c r="F129">
        <f t="shared" si="2"/>
        <v>62500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9"/>
  <sheetViews>
    <sheetView zoomScale="150" workbookViewId="0">
      <selection activeCell="C20" sqref="C20"/>
    </sheetView>
  </sheetViews>
  <sheetFormatPr baseColWidth="10" defaultRowHeight="13"/>
  <cols>
    <col min="1" max="1" width="19.28515625" bestFit="1" customWidth="1"/>
    <col min="2" max="2" width="15" bestFit="1" customWidth="1"/>
    <col min="3" max="3" width="46.28515625" bestFit="1" customWidth="1"/>
    <col min="5" max="5" width="7.85546875" customWidth="1"/>
  </cols>
  <sheetData>
    <row r="1" spans="1:7">
      <c r="A1" t="s">
        <v>269</v>
      </c>
      <c r="C1" t="s">
        <v>29</v>
      </c>
      <c r="D1" t="s">
        <v>140</v>
      </c>
    </row>
    <row r="2" spans="1:7">
      <c r="A2" t="s">
        <v>270</v>
      </c>
      <c r="C2" t="s">
        <v>30</v>
      </c>
      <c r="D2">
        <v>0</v>
      </c>
    </row>
    <row r="3" spans="1:7">
      <c r="A3" t="s">
        <v>136</v>
      </c>
      <c r="C3" t="s">
        <v>109</v>
      </c>
      <c r="D3">
        <v>500000</v>
      </c>
    </row>
    <row r="4" spans="1:7">
      <c r="A4" t="s">
        <v>137</v>
      </c>
      <c r="C4" t="s">
        <v>110</v>
      </c>
      <c r="D4">
        <v>1000000</v>
      </c>
    </row>
    <row r="5" spans="1:7">
      <c r="A5" t="s">
        <v>138</v>
      </c>
      <c r="C5" t="s">
        <v>111</v>
      </c>
      <c r="D5">
        <v>2500000</v>
      </c>
    </row>
    <row r="6" spans="1:7">
      <c r="A6" t="s">
        <v>139</v>
      </c>
      <c r="C6" t="s">
        <v>112</v>
      </c>
      <c r="D6" t="s">
        <v>141</v>
      </c>
      <c r="E6" t="s">
        <v>613</v>
      </c>
    </row>
    <row r="8" spans="1:7">
      <c r="A8" s="58" t="s">
        <v>593</v>
      </c>
      <c r="B8" t="s">
        <v>592</v>
      </c>
    </row>
    <row r="9" spans="1:7">
      <c r="A9" t="s">
        <v>594</v>
      </c>
      <c r="B9">
        <v>7000</v>
      </c>
    </row>
    <row r="10" spans="1:7">
      <c r="A10" t="s">
        <v>596</v>
      </c>
      <c r="B10">
        <v>26000</v>
      </c>
    </row>
    <row r="11" spans="1:7">
      <c r="A11" t="s">
        <v>595</v>
      </c>
      <c r="B11">
        <v>54000</v>
      </c>
    </row>
    <row r="14" spans="1:7">
      <c r="A14" t="s">
        <v>319</v>
      </c>
      <c r="C14" t="s">
        <v>320</v>
      </c>
      <c r="D14" t="s">
        <v>556</v>
      </c>
      <c r="E14" t="s">
        <v>557</v>
      </c>
      <c r="F14" t="s">
        <v>558</v>
      </c>
      <c r="G14" t="s">
        <v>555</v>
      </c>
    </row>
    <row r="15" spans="1:7">
      <c r="A15" t="s">
        <v>322</v>
      </c>
      <c r="B15" t="s">
        <v>318</v>
      </c>
      <c r="C15" t="s">
        <v>142</v>
      </c>
      <c r="D15">
        <v>100000000</v>
      </c>
      <c r="E15">
        <v>0</v>
      </c>
      <c r="F15">
        <f>E15*B9</f>
        <v>0</v>
      </c>
      <c r="G15">
        <f>D15+F15</f>
        <v>100000000</v>
      </c>
    </row>
    <row r="16" spans="1:7">
      <c r="A16" t="s">
        <v>19</v>
      </c>
      <c r="B16" t="s">
        <v>28</v>
      </c>
      <c r="C16" t="s">
        <v>113</v>
      </c>
      <c r="D16">
        <f>D4</f>
        <v>1000000</v>
      </c>
      <c r="E16">
        <v>100</v>
      </c>
      <c r="F16">
        <f>E16*B9</f>
        <v>700000</v>
      </c>
      <c r="G16">
        <f t="shared" ref="G16:G19" si="0">D16+F16</f>
        <v>1700000</v>
      </c>
    </row>
    <row r="17" spans="1:7">
      <c r="A17" t="s">
        <v>522</v>
      </c>
      <c r="B17" t="s">
        <v>529</v>
      </c>
      <c r="C17" t="s">
        <v>530</v>
      </c>
      <c r="D17">
        <f>D4</f>
        <v>1000000</v>
      </c>
      <c r="E17">
        <v>100</v>
      </c>
      <c r="F17">
        <f>E17*B9</f>
        <v>700000</v>
      </c>
      <c r="G17">
        <f t="shared" si="0"/>
        <v>1700000</v>
      </c>
    </row>
    <row r="18" spans="1:7">
      <c r="A18" t="s">
        <v>608</v>
      </c>
      <c r="B18" t="s">
        <v>611</v>
      </c>
      <c r="C18" t="s">
        <v>612</v>
      </c>
      <c r="D18">
        <v>5000000</v>
      </c>
      <c r="E18">
        <v>0</v>
      </c>
      <c r="F18">
        <f>E18*B9</f>
        <v>0</v>
      </c>
      <c r="G18">
        <f t="shared" si="0"/>
        <v>5000000</v>
      </c>
    </row>
    <row r="19" spans="1:7">
      <c r="A19" t="s">
        <v>585</v>
      </c>
      <c r="B19" t="s">
        <v>591</v>
      </c>
      <c r="C19" t="s">
        <v>597</v>
      </c>
      <c r="D19">
        <f>D3</f>
        <v>500000</v>
      </c>
      <c r="E19">
        <v>500</v>
      </c>
      <c r="F19">
        <f>E19*B10</f>
        <v>13000000</v>
      </c>
      <c r="G19">
        <f t="shared" si="0"/>
        <v>13500000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Sector Summaries</vt:lpstr>
      <vt:lpstr>Tunnels</vt:lpstr>
      <vt:lpstr>Bridges</vt:lpstr>
      <vt:lpstr>Earthworks</vt:lpstr>
      <vt:lpstr>Track</vt:lpstr>
      <vt:lpstr>Signalling and Control</vt:lpstr>
      <vt:lpstr>Civil Works</vt:lpstr>
      <vt:lpstr>Stations</vt:lpstr>
      <vt:lpstr>Land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Michell</dc:creator>
  <cp:lastModifiedBy>Edwin Michell</cp:lastModifiedBy>
  <dcterms:created xsi:type="dcterms:W3CDTF">2014-09-12T09:09:50Z</dcterms:created>
  <dcterms:modified xsi:type="dcterms:W3CDTF">2015-08-27T10:14:13Z</dcterms:modified>
</cp:coreProperties>
</file>